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be\Dropbox\PGLofMMMofLondon\Calendar Engine - Meetings\"/>
    </mc:Choice>
  </mc:AlternateContent>
  <xr:revisionPtr revIDLastSave="0" documentId="13_ncr:1_{267E11F8-BBBE-4A35-B0D3-C1CEA0F11386}" xr6:coauthVersionLast="47" xr6:coauthVersionMax="47" xr10:uidLastSave="{00000000-0000-0000-0000-000000000000}"/>
  <bookViews>
    <workbookView xWindow="-120" yWindow="-120" windowWidth="29040" windowHeight="15720" xr2:uid="{64D04112-54AC-4A94-B9B9-E3D71281BA7F}"/>
  </bookViews>
  <sheets>
    <sheet name="Combined Mark &amp; RAM" sheetId="8" r:id="rId1"/>
    <sheet name="Mark" sheetId="1" r:id="rId2"/>
    <sheet name="RAM" sheetId="7" r:id="rId3"/>
    <sheet name="Change Year" sheetId="4" r:id="rId4"/>
    <sheet name="Keystone dates" sheetId="3" r:id="rId5"/>
    <sheet name="Readme" sheetId="2" r:id="rId6"/>
  </sheets>
  <definedNames>
    <definedName name="_1st_weekday_occurrence">'Change Year'!$E$5</definedName>
    <definedName name="_2nd_weekday_occurrence">'Change Year'!$E$6</definedName>
    <definedName name="_3rd_weekday_occurrence">'Change Year'!$E$7</definedName>
    <definedName name="_4th_weekday_occurrence">'Change Year'!$E$8</definedName>
    <definedName name="_5th_weekday_occurrence">'Change Year'!$E$9</definedName>
    <definedName name="_xlnm._FilterDatabase" localSheetId="0" hidden="1">'Combined Mark &amp; RAM'!$A$1:$M$510</definedName>
    <definedName name="_xlnm._FilterDatabase" localSheetId="1" hidden="1">Mark!$A$1:$P$306</definedName>
    <definedName name="_xlnm._FilterDatabase" localSheetId="2" hidden="1">RAM!$A$1:$P$230</definedName>
    <definedName name="April">'Change Year'!$K$8</definedName>
    <definedName name="December">'Change Year'!$K$16</definedName>
    <definedName name="February">'Change Year'!$K$6</definedName>
    <definedName name="Friday">'Change Year'!$H$10</definedName>
    <definedName name="January">'Change Year'!$K$5</definedName>
    <definedName name="July">'Change Year'!$K$11</definedName>
    <definedName name="June">'Change Year'!$K$10</definedName>
    <definedName name="March">'Change Year'!$K$7</definedName>
    <definedName name="May">'Change Year'!$K$9</definedName>
    <definedName name="Monday">'Change Year'!$H$6</definedName>
    <definedName name="November">'Change Year'!$K$15</definedName>
    <definedName name="October">'Change Year'!$K$14</definedName>
    <definedName name="Saturday">'Change Year'!$H$11</definedName>
    <definedName name="September">'Change Year'!$K$13</definedName>
    <definedName name="Thursday">'Change Year'!$H$9</definedName>
    <definedName name="Tuesday">'Change Year'!$H$7</definedName>
    <definedName name="Wednesday">'Change Year'!$H$8</definedName>
    <definedName name="YEAR">'Change Year'!$A$4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13" i="8" l="1"/>
  <c r="M510" i="8"/>
  <c r="M508" i="8"/>
  <c r="M504" i="8"/>
  <c r="M503" i="8"/>
  <c r="M501" i="8"/>
  <c r="M499" i="8"/>
  <c r="M498" i="8"/>
  <c r="M496" i="8"/>
  <c r="M494" i="8"/>
  <c r="M491" i="8"/>
  <c r="M489" i="8"/>
  <c r="M487" i="8"/>
  <c r="M484" i="8"/>
  <c r="M482" i="8"/>
  <c r="M480" i="8"/>
  <c r="M478" i="8"/>
  <c r="M476" i="8"/>
  <c r="M474" i="8"/>
  <c r="M472" i="8"/>
  <c r="M470" i="8"/>
  <c r="M466" i="8"/>
  <c r="M464" i="8"/>
  <c r="M462" i="8"/>
  <c r="M460" i="8"/>
  <c r="M459" i="8"/>
  <c r="M457" i="8"/>
  <c r="M454" i="8"/>
  <c r="M451" i="8"/>
  <c r="M448" i="8"/>
  <c r="M446" i="8"/>
  <c r="M443" i="8"/>
  <c r="M441" i="8"/>
  <c r="M439" i="8"/>
  <c r="M437" i="8"/>
  <c r="M435" i="8"/>
  <c r="M433" i="8"/>
  <c r="M430" i="8"/>
  <c r="M428" i="8"/>
  <c r="M425" i="8"/>
  <c r="M423" i="8"/>
  <c r="M421" i="8"/>
  <c r="M419" i="8"/>
  <c r="M417" i="8"/>
  <c r="M415" i="8"/>
  <c r="M413" i="8"/>
  <c r="M411" i="8"/>
  <c r="M409" i="8"/>
  <c r="M407" i="8"/>
  <c r="M405" i="8"/>
  <c r="M404" i="8"/>
  <c r="M402" i="8"/>
  <c r="M401" i="8"/>
  <c r="M399" i="8"/>
  <c r="M397" i="8"/>
  <c r="M393" i="8"/>
  <c r="M391" i="8"/>
  <c r="M389" i="8"/>
  <c r="M387" i="8"/>
  <c r="M384" i="8"/>
  <c r="M381" i="8"/>
  <c r="M379" i="8"/>
  <c r="M376" i="8"/>
  <c r="M375" i="8"/>
  <c r="M373" i="8"/>
  <c r="M371" i="8"/>
  <c r="M369" i="8"/>
  <c r="M366" i="8"/>
  <c r="M363" i="8"/>
  <c r="M361" i="8"/>
  <c r="M358" i="8"/>
  <c r="M355" i="8"/>
  <c r="M353" i="8"/>
  <c r="M351" i="8"/>
  <c r="M349" i="8"/>
  <c r="M347" i="8"/>
  <c r="M345" i="8"/>
  <c r="K343" i="8"/>
  <c r="J343" i="8"/>
  <c r="I343" i="8"/>
  <c r="H343" i="8"/>
  <c r="G343" i="8"/>
  <c r="M340" i="8"/>
  <c r="M338" i="8"/>
  <c r="M336" i="8"/>
  <c r="M334" i="8"/>
  <c r="M332" i="8"/>
  <c r="M330" i="8"/>
  <c r="M328" i="8"/>
  <c r="M326" i="8"/>
  <c r="M324" i="8"/>
  <c r="M322" i="8"/>
  <c r="M320" i="8"/>
  <c r="M318" i="8"/>
  <c r="M316" i="8"/>
  <c r="M313" i="8"/>
  <c r="M311" i="8"/>
  <c r="M309" i="8"/>
  <c r="M304" i="8"/>
  <c r="M300" i="8"/>
  <c r="M298" i="8"/>
  <c r="M296" i="8"/>
  <c r="M294" i="8"/>
  <c r="M292" i="8"/>
  <c r="M290" i="8"/>
  <c r="M288" i="8"/>
  <c r="M286" i="8"/>
  <c r="M284" i="8"/>
  <c r="M281" i="8"/>
  <c r="M279" i="8"/>
  <c r="M277" i="8"/>
  <c r="M275" i="8"/>
  <c r="M273" i="8"/>
  <c r="M271" i="8"/>
  <c r="M268" i="8"/>
  <c r="M266" i="8"/>
  <c r="M264" i="8"/>
  <c r="M262" i="8"/>
  <c r="M261" i="8"/>
  <c r="M258" i="8"/>
  <c r="M256" i="8"/>
  <c r="M254" i="8"/>
  <c r="M251" i="8"/>
  <c r="M249" i="8"/>
  <c r="M247" i="8"/>
  <c r="M245" i="8"/>
  <c r="M243" i="8"/>
  <c r="M240" i="8"/>
  <c r="M237" i="8"/>
  <c r="M235" i="8"/>
  <c r="M233" i="8"/>
  <c r="M231" i="8"/>
  <c r="M229" i="8"/>
  <c r="M227" i="8"/>
  <c r="M225" i="8"/>
  <c r="K223" i="8"/>
  <c r="J223" i="8"/>
  <c r="I223" i="8"/>
  <c r="H223" i="8"/>
  <c r="G223" i="8"/>
  <c r="M221" i="8"/>
  <c r="M219" i="8"/>
  <c r="M217" i="8"/>
  <c r="M215" i="8"/>
  <c r="M213" i="8"/>
  <c r="M211" i="8"/>
  <c r="M209" i="8"/>
  <c r="M207" i="8"/>
  <c r="M205" i="8"/>
  <c r="M203" i="8"/>
  <c r="M201" i="8"/>
  <c r="M199" i="8"/>
  <c r="M196" i="8"/>
  <c r="M193" i="8"/>
  <c r="M192" i="8"/>
  <c r="M190" i="8"/>
  <c r="M188" i="8"/>
  <c r="M185" i="8"/>
  <c r="M183" i="8"/>
  <c r="M180" i="8"/>
  <c r="M178" i="8"/>
  <c r="M176" i="8"/>
  <c r="M174" i="8"/>
  <c r="M171" i="8"/>
  <c r="M169" i="8"/>
  <c r="M167" i="8"/>
  <c r="M165" i="8"/>
  <c r="M163" i="8"/>
  <c r="M161" i="8"/>
  <c r="M159" i="8"/>
  <c r="M157" i="8"/>
  <c r="M155" i="8"/>
  <c r="M153" i="8"/>
  <c r="M151" i="8"/>
  <c r="M147" i="8"/>
  <c r="M145" i="8"/>
  <c r="M143" i="8"/>
  <c r="M141" i="8"/>
  <c r="M139" i="8"/>
  <c r="M137" i="8"/>
  <c r="M134" i="8"/>
  <c r="M132" i="8"/>
  <c r="M130" i="8"/>
  <c r="M128" i="8"/>
  <c r="M126" i="8"/>
  <c r="M122" i="8"/>
  <c r="M119" i="8"/>
  <c r="M117" i="8"/>
  <c r="M115" i="8"/>
  <c r="K113" i="8"/>
  <c r="J113" i="8"/>
  <c r="I113" i="8"/>
  <c r="H113" i="8"/>
  <c r="G113" i="8"/>
  <c r="M113" i="8" s="1"/>
  <c r="K111" i="8"/>
  <c r="J111" i="8"/>
  <c r="I111" i="8"/>
  <c r="H111" i="8"/>
  <c r="G111" i="8"/>
  <c r="M109" i="8"/>
  <c r="M107" i="8"/>
  <c r="M105" i="8"/>
  <c r="M103" i="8"/>
  <c r="M101" i="8"/>
  <c r="M99" i="8"/>
  <c r="M95" i="8"/>
  <c r="M93" i="8"/>
  <c r="M91" i="8"/>
  <c r="M89" i="8"/>
  <c r="M87" i="8"/>
  <c r="M85" i="8"/>
  <c r="M83" i="8"/>
  <c r="M79" i="8"/>
  <c r="M77" i="8"/>
  <c r="M75" i="8"/>
  <c r="M72" i="8"/>
  <c r="M70" i="8"/>
  <c r="M68" i="8"/>
  <c r="M66" i="8"/>
  <c r="M64" i="8"/>
  <c r="M62" i="8"/>
  <c r="M60" i="8"/>
  <c r="M58" i="8"/>
  <c r="M54" i="8"/>
  <c r="M52" i="8"/>
  <c r="M50" i="8"/>
  <c r="M48" i="8"/>
  <c r="M45" i="8"/>
  <c r="M42" i="8"/>
  <c r="M38" i="8"/>
  <c r="M36" i="8"/>
  <c r="M34" i="8"/>
  <c r="M32" i="8"/>
  <c r="M30" i="8"/>
  <c r="M28" i="8"/>
  <c r="M26" i="8"/>
  <c r="M24" i="8"/>
  <c r="M21" i="8"/>
  <c r="M19" i="8"/>
  <c r="M18" i="8"/>
  <c r="M16" i="8"/>
  <c r="M15" i="8"/>
  <c r="M13" i="8"/>
  <c r="M10" i="8"/>
  <c r="M8" i="8"/>
  <c r="M6" i="8"/>
  <c r="M514" i="8"/>
  <c r="M512" i="8"/>
  <c r="M511" i="8"/>
  <c r="M509" i="8"/>
  <c r="M507" i="8"/>
  <c r="M506" i="8"/>
  <c r="M505" i="8"/>
  <c r="M502" i="8"/>
  <c r="M500" i="8"/>
  <c r="M497" i="8"/>
  <c r="M495" i="8"/>
  <c r="M493" i="8"/>
  <c r="M492" i="8"/>
  <c r="M490" i="8"/>
  <c r="M488" i="8"/>
  <c r="M486" i="8"/>
  <c r="M485" i="8"/>
  <c r="M483" i="8"/>
  <c r="M481" i="8"/>
  <c r="M479" i="8"/>
  <c r="M477" i="8"/>
  <c r="M475" i="8"/>
  <c r="M473" i="8"/>
  <c r="M471" i="8"/>
  <c r="M469" i="8"/>
  <c r="M468" i="8"/>
  <c r="M467" i="8"/>
  <c r="M465" i="8"/>
  <c r="M463" i="8"/>
  <c r="M461" i="8"/>
  <c r="M458" i="8"/>
  <c r="M456" i="8"/>
  <c r="M455" i="8"/>
  <c r="M453" i="8"/>
  <c r="M452" i="8"/>
  <c r="M450" i="8"/>
  <c r="M449" i="8"/>
  <c r="M447" i="8"/>
  <c r="M445" i="8"/>
  <c r="M444" i="8"/>
  <c r="M442" i="8"/>
  <c r="M440" i="8"/>
  <c r="M438" i="8"/>
  <c r="M436" i="8"/>
  <c r="M434" i="8"/>
  <c r="M432" i="8"/>
  <c r="M431" i="8"/>
  <c r="M429" i="8"/>
  <c r="M427" i="8"/>
  <c r="M426" i="8"/>
  <c r="M424" i="8"/>
  <c r="M422" i="8"/>
  <c r="M420" i="8"/>
  <c r="M418" i="8"/>
  <c r="M416" i="8"/>
  <c r="M414" i="8"/>
  <c r="M412" i="8"/>
  <c r="M410" i="8"/>
  <c r="M408" i="8"/>
  <c r="M406" i="8"/>
  <c r="M403" i="8"/>
  <c r="M400" i="8"/>
  <c r="M398" i="8"/>
  <c r="M396" i="8"/>
  <c r="M395" i="8"/>
  <c r="M394" i="8"/>
  <c r="M392" i="8"/>
  <c r="M390" i="8"/>
  <c r="M388" i="8"/>
  <c r="M386" i="8"/>
  <c r="M385" i="8"/>
  <c r="M383" i="8"/>
  <c r="M382" i="8"/>
  <c r="M380" i="8"/>
  <c r="M378" i="8"/>
  <c r="M377" i="8"/>
  <c r="M374" i="8"/>
  <c r="M372" i="8"/>
  <c r="M370" i="8"/>
  <c r="M368" i="8"/>
  <c r="M367" i="8"/>
  <c r="M365" i="8"/>
  <c r="M364" i="8"/>
  <c r="M362" i="8"/>
  <c r="M360" i="8"/>
  <c r="M359" i="8"/>
  <c r="M357" i="8"/>
  <c r="M356" i="8"/>
  <c r="M354" i="8"/>
  <c r="M352" i="8"/>
  <c r="M350" i="8"/>
  <c r="M348" i="8"/>
  <c r="M346" i="8"/>
  <c r="M344" i="8"/>
  <c r="K342" i="8"/>
  <c r="J342" i="8"/>
  <c r="I342" i="8"/>
  <c r="H342" i="8"/>
  <c r="G342" i="8"/>
  <c r="M342" i="8" s="1"/>
  <c r="M341" i="8"/>
  <c r="M339" i="8"/>
  <c r="M337" i="8"/>
  <c r="M335" i="8"/>
  <c r="M333" i="8"/>
  <c r="M331" i="8"/>
  <c r="M329" i="8"/>
  <c r="M327" i="8"/>
  <c r="M325" i="8"/>
  <c r="M323" i="8"/>
  <c r="M321" i="8"/>
  <c r="M319" i="8"/>
  <c r="M317" i="8"/>
  <c r="M315" i="8"/>
  <c r="M314" i="8"/>
  <c r="M312" i="8"/>
  <c r="M310" i="8"/>
  <c r="M308" i="8"/>
  <c r="M307" i="8"/>
  <c r="M306" i="8"/>
  <c r="M305" i="8"/>
  <c r="M303" i="8"/>
  <c r="M302" i="8"/>
  <c r="M301" i="8"/>
  <c r="M299" i="8"/>
  <c r="M297" i="8"/>
  <c r="M295" i="8"/>
  <c r="M293" i="8"/>
  <c r="M291" i="8"/>
  <c r="M289" i="8"/>
  <c r="M287" i="8"/>
  <c r="M285" i="8"/>
  <c r="M283" i="8"/>
  <c r="M282" i="8"/>
  <c r="M280" i="8"/>
  <c r="M278" i="8"/>
  <c r="M276" i="8"/>
  <c r="M274" i="8"/>
  <c r="M272" i="8"/>
  <c r="M270" i="8"/>
  <c r="M269" i="8"/>
  <c r="M267" i="8"/>
  <c r="M265" i="8"/>
  <c r="M263" i="8"/>
  <c r="M260" i="8"/>
  <c r="M259" i="8"/>
  <c r="M257" i="8"/>
  <c r="M255" i="8"/>
  <c r="M253" i="8"/>
  <c r="M252" i="8"/>
  <c r="M250" i="8"/>
  <c r="M248" i="8"/>
  <c r="M246" i="8"/>
  <c r="M244" i="8"/>
  <c r="M242" i="8"/>
  <c r="M241" i="8"/>
  <c r="M239" i="8"/>
  <c r="M238" i="8"/>
  <c r="M236" i="8"/>
  <c r="M234" i="8"/>
  <c r="M232" i="8"/>
  <c r="M230" i="8"/>
  <c r="M228" i="8"/>
  <c r="M226" i="8"/>
  <c r="M224" i="8"/>
  <c r="K222" i="8"/>
  <c r="J222" i="8"/>
  <c r="I222" i="8"/>
  <c r="H222" i="8"/>
  <c r="G222" i="8"/>
  <c r="M222" i="8" s="1"/>
  <c r="M220" i="8"/>
  <c r="M218" i="8"/>
  <c r="M216" i="8"/>
  <c r="M214" i="8"/>
  <c r="M212" i="8"/>
  <c r="M210" i="8"/>
  <c r="M208" i="8"/>
  <c r="M206" i="8"/>
  <c r="M204" i="8"/>
  <c r="M202" i="8"/>
  <c r="M200" i="8"/>
  <c r="M198" i="8"/>
  <c r="M197" i="8"/>
  <c r="M195" i="8"/>
  <c r="M194" i="8"/>
  <c r="M191" i="8"/>
  <c r="M189" i="8"/>
  <c r="M187" i="8"/>
  <c r="M186" i="8"/>
  <c r="M184" i="8"/>
  <c r="M182" i="8"/>
  <c r="M181" i="8"/>
  <c r="M179" i="8"/>
  <c r="M177" i="8"/>
  <c r="M175" i="8"/>
  <c r="M173" i="8"/>
  <c r="M172" i="8"/>
  <c r="M170" i="8"/>
  <c r="M168" i="8"/>
  <c r="M166" i="8"/>
  <c r="M164" i="8"/>
  <c r="M162" i="8"/>
  <c r="M160" i="8"/>
  <c r="M158" i="8"/>
  <c r="M156" i="8"/>
  <c r="M154" i="8"/>
  <c r="M152" i="8"/>
  <c r="M150" i="8"/>
  <c r="M149" i="8"/>
  <c r="K149" i="8"/>
  <c r="J149" i="8"/>
  <c r="I149" i="8"/>
  <c r="H149" i="8"/>
  <c r="G149" i="8"/>
  <c r="M148" i="8"/>
  <c r="M146" i="8"/>
  <c r="M144" i="8"/>
  <c r="M142" i="8"/>
  <c r="M140" i="8"/>
  <c r="M138" i="8"/>
  <c r="M136" i="8"/>
  <c r="M135" i="8"/>
  <c r="M133" i="8"/>
  <c r="M131" i="8"/>
  <c r="M129" i="8"/>
  <c r="M127" i="8"/>
  <c r="M125" i="8"/>
  <c r="M124" i="8"/>
  <c r="M123" i="8"/>
  <c r="M121" i="8"/>
  <c r="M120" i="8"/>
  <c r="M118" i="8"/>
  <c r="M116" i="8"/>
  <c r="M114" i="8"/>
  <c r="K112" i="8"/>
  <c r="J112" i="8"/>
  <c r="I112" i="8"/>
  <c r="H112" i="8"/>
  <c r="G112" i="8"/>
  <c r="K110" i="8"/>
  <c r="J110" i="8"/>
  <c r="I110" i="8"/>
  <c r="H110" i="8"/>
  <c r="G110" i="8"/>
  <c r="M108" i="8"/>
  <c r="M106" i="8"/>
  <c r="M104" i="8"/>
  <c r="M102" i="8"/>
  <c r="M100" i="8"/>
  <c r="M98" i="8"/>
  <c r="M97" i="8"/>
  <c r="M96" i="8"/>
  <c r="M94" i="8"/>
  <c r="M92" i="8"/>
  <c r="M90" i="8"/>
  <c r="M88" i="8"/>
  <c r="M86" i="8"/>
  <c r="M84" i="8"/>
  <c r="M82" i="8"/>
  <c r="M81" i="8"/>
  <c r="M80" i="8"/>
  <c r="M78" i="8"/>
  <c r="M76" i="8"/>
  <c r="M74" i="8"/>
  <c r="M73" i="8"/>
  <c r="M71" i="8"/>
  <c r="M69" i="8"/>
  <c r="M67" i="8"/>
  <c r="M65" i="8"/>
  <c r="M63" i="8"/>
  <c r="M61" i="8"/>
  <c r="M59" i="8"/>
  <c r="M57" i="8"/>
  <c r="M56" i="8"/>
  <c r="M55" i="8"/>
  <c r="M53" i="8"/>
  <c r="M51" i="8"/>
  <c r="M49" i="8"/>
  <c r="M47" i="8"/>
  <c r="M46" i="8"/>
  <c r="M44" i="8"/>
  <c r="M43" i="8"/>
  <c r="M41" i="8"/>
  <c r="M40" i="8"/>
  <c r="M39" i="8"/>
  <c r="M37" i="8"/>
  <c r="M35" i="8"/>
  <c r="M33" i="8"/>
  <c r="M31" i="8"/>
  <c r="M29" i="8"/>
  <c r="M27" i="8"/>
  <c r="M25" i="8"/>
  <c r="M23" i="8"/>
  <c r="M22" i="8"/>
  <c r="M20" i="8"/>
  <c r="M17" i="8"/>
  <c r="M14" i="8"/>
  <c r="M12" i="8"/>
  <c r="M11" i="8"/>
  <c r="M9" i="8"/>
  <c r="M7" i="8"/>
  <c r="M5" i="8"/>
  <c r="M4" i="8"/>
  <c r="M3" i="8"/>
  <c r="M2" i="8"/>
  <c r="M220" i="7"/>
  <c r="M270" i="1"/>
  <c r="M235" i="1"/>
  <c r="M81" i="7"/>
  <c r="M103" i="1"/>
  <c r="M162" i="1"/>
  <c r="M133" i="7"/>
  <c r="M155" i="7"/>
  <c r="M191" i="1"/>
  <c r="M182" i="7"/>
  <c r="M15" i="7"/>
  <c r="M216" i="7"/>
  <c r="M161" i="7"/>
  <c r="M110" i="7"/>
  <c r="M51" i="7"/>
  <c r="M156" i="1"/>
  <c r="M10" i="1"/>
  <c r="M93" i="7"/>
  <c r="M13" i="1"/>
  <c r="M199" i="1"/>
  <c r="M85" i="1"/>
  <c r="M88" i="7"/>
  <c r="M173" i="7"/>
  <c r="M11" i="7"/>
  <c r="M284" i="1"/>
  <c r="M149" i="1"/>
  <c r="M68" i="1"/>
  <c r="M27" i="7"/>
  <c r="M65" i="1"/>
  <c r="K50" i="7"/>
  <c r="J50" i="7"/>
  <c r="I50" i="7"/>
  <c r="H50" i="7"/>
  <c r="G50" i="7"/>
  <c r="M222" i="7"/>
  <c r="M183" i="7"/>
  <c r="M107" i="7"/>
  <c r="M111" i="8" l="1"/>
  <c r="M343" i="8"/>
  <c r="M223" i="8"/>
  <c r="M112" i="8"/>
  <c r="M110" i="8"/>
  <c r="M50" i="7"/>
  <c r="M53" i="7"/>
  <c r="M227" i="7"/>
  <c r="M150" i="7"/>
  <c r="M52" i="7"/>
  <c r="M181" i="7"/>
  <c r="M104" i="7"/>
  <c r="M67" i="1"/>
  <c r="M277" i="1"/>
  <c r="M185" i="1"/>
  <c r="M66" i="1"/>
  <c r="M224" i="1"/>
  <c r="M128" i="1"/>
  <c r="M169" i="7" l="1"/>
  <c r="M225" i="7"/>
  <c r="M228" i="7"/>
  <c r="M213" i="7"/>
  <c r="M118" i="7"/>
  <c r="M180" i="7"/>
  <c r="M9" i="7" l="1"/>
  <c r="M7" i="7"/>
  <c r="M159" i="7"/>
  <c r="M86" i="7"/>
  <c r="M231" i="7"/>
  <c r="M136" i="7"/>
  <c r="M207" i="7"/>
  <c r="M6" i="7"/>
  <c r="M22" i="1"/>
  <c r="M71" i="7"/>
  <c r="M128" i="7"/>
  <c r="M36" i="7"/>
  <c r="M165" i="7"/>
  <c r="M122" i="7"/>
  <c r="M54" i="7"/>
  <c r="M189" i="7"/>
  <c r="M114" i="7"/>
  <c r="M70" i="7"/>
  <c r="M153" i="7"/>
  <c r="M80" i="7"/>
  <c r="M226" i="7"/>
  <c r="M157" i="7"/>
  <c r="M37" i="7"/>
  <c r="M187" i="7"/>
  <c r="M123" i="7"/>
  <c r="M61" i="7"/>
  <c r="M137" i="7"/>
  <c r="M200" i="7"/>
  <c r="M224" i="7"/>
  <c r="M65" i="7"/>
  <c r="M188" i="7"/>
  <c r="M84" i="7"/>
  <c r="M203" i="7"/>
  <c r="M156" i="7"/>
  <c r="M42" i="7"/>
  <c r="M202" i="7"/>
  <c r="M10" i="7"/>
  <c r="M205" i="7"/>
  <c r="M148" i="7"/>
  <c r="M178" i="7"/>
  <c r="M112" i="7"/>
  <c r="M76" i="7"/>
  <c r="M172" i="7"/>
  <c r="M97" i="7"/>
  <c r="M4" i="7"/>
  <c r="M229" i="7"/>
  <c r="M87" i="7"/>
  <c r="M34" i="7"/>
  <c r="M152" i="7"/>
  <c r="M35" i="7"/>
  <c r="M194" i="7"/>
  <c r="M140" i="7"/>
  <c r="M5" i="7"/>
  <c r="M125" i="7"/>
  <c r="M41" i="7"/>
  <c r="M201" i="7"/>
  <c r="M174" i="7"/>
  <c r="M78" i="7"/>
  <c r="M204" i="7"/>
  <c r="M2" i="7"/>
  <c r="M211" i="7"/>
  <c r="M138" i="7"/>
  <c r="M57" i="7"/>
  <c r="M198" i="7"/>
  <c r="M132" i="7"/>
  <c r="M69" i="7"/>
  <c r="M193" i="7"/>
  <c r="M91" i="7"/>
  <c r="M3" i="7"/>
  <c r="M43" i="7"/>
  <c r="M197" i="7"/>
  <c r="M113" i="7"/>
  <c r="M44" i="7"/>
  <c r="M103" i="7"/>
  <c r="M19" i="7"/>
  <c r="M210" i="7"/>
  <c r="M162" i="7"/>
  <c r="M46" i="7"/>
  <c r="M215" i="7"/>
  <c r="M142" i="7"/>
  <c r="M33" i="7"/>
  <c r="M177" i="7"/>
  <c r="M127" i="7"/>
  <c r="M17" i="7"/>
  <c r="M135" i="7"/>
  <c r="M14" i="7"/>
  <c r="M170" i="7"/>
  <c r="M32" i="7"/>
  <c r="M116" i="7"/>
  <c r="M16" i="7"/>
  <c r="M149" i="7"/>
  <c r="M77" i="7"/>
  <c r="M13" i="7"/>
  <c r="M196" i="7"/>
  <c r="M25" i="7"/>
  <c r="M160" i="7"/>
  <c r="M119" i="7"/>
  <c r="M74" i="7"/>
  <c r="M95" i="7"/>
  <c r="M82" i="7"/>
  <c r="M18" i="7"/>
  <c r="M171" i="7"/>
  <c r="M20" i="7"/>
  <c r="M221" i="7"/>
  <c r="M89" i="7"/>
  <c r="M199" i="7"/>
  <c r="M109" i="7"/>
  <c r="M12" i="7"/>
  <c r="M219" i="7"/>
  <c r="M130" i="7"/>
  <c r="M230" i="7"/>
  <c r="M56" i="7"/>
  <c r="M151" i="7"/>
  <c r="M99" i="7"/>
  <c r="M79" i="7"/>
  <c r="M214" i="7"/>
  <c r="M141" i="7"/>
  <c r="M55" i="7"/>
  <c r="M195" i="7"/>
  <c r="M134" i="7"/>
  <c r="M64" i="7"/>
  <c r="M147" i="7"/>
  <c r="M29" i="7"/>
  <c r="M191" i="7"/>
  <c r="M26" i="7"/>
  <c r="M206" i="7"/>
  <c r="M106" i="7"/>
  <c r="M105" i="7"/>
  <c r="M28" i="7"/>
  <c r="M94" i="7"/>
  <c r="M60" i="7"/>
  <c r="M192" i="7"/>
  <c r="M108" i="7"/>
  <c r="M40" i="7"/>
  <c r="M209" i="7"/>
  <c r="M168" i="7"/>
  <c r="M45" i="7"/>
  <c r="M131" i="7"/>
  <c r="M48" i="7"/>
  <c r="M208" i="7"/>
  <c r="M83" i="7"/>
  <c r="M23" i="7"/>
  <c r="M166" i="7"/>
  <c r="M68" i="7"/>
  <c r="M144" i="7"/>
  <c r="M31" i="7"/>
  <c r="M145" i="7"/>
  <c r="M218" i="7"/>
  <c r="M121" i="7"/>
  <c r="M59" i="7"/>
  <c r="M146" i="7"/>
  <c r="M39" i="7"/>
  <c r="M115" i="7"/>
  <c r="M58" i="7"/>
  <c r="M184" i="7"/>
  <c r="M92" i="7"/>
  <c r="M63" i="7"/>
  <c r="M176" i="7"/>
  <c r="M98" i="7"/>
  <c r="M139" i="7"/>
  <c r="M67" i="7"/>
  <c r="M212" i="7"/>
  <c r="M164" i="7"/>
  <c r="M90" i="7"/>
  <c r="M8" i="7"/>
  <c r="M223" i="7"/>
  <c r="M143" i="7"/>
  <c r="M75" i="7"/>
  <c r="M158" i="7"/>
  <c r="M126" i="7"/>
  <c r="M24" i="7"/>
  <c r="M73" i="7"/>
  <c r="M175" i="7"/>
  <c r="M38" i="7"/>
  <c r="M217" i="7"/>
  <c r="M101" i="7"/>
  <c r="M66" i="7"/>
  <c r="M129" i="7"/>
  <c r="M62" i="7"/>
  <c r="M179" i="7"/>
  <c r="M111" i="7"/>
  <c r="K154" i="7"/>
  <c r="J154" i="7"/>
  <c r="I154" i="7"/>
  <c r="H154" i="7"/>
  <c r="G154" i="7"/>
  <c r="K100" i="7"/>
  <c r="J100" i="7"/>
  <c r="I100" i="7"/>
  <c r="H100" i="7"/>
  <c r="G100" i="7"/>
  <c r="K49" i="7"/>
  <c r="J49" i="7"/>
  <c r="I49" i="7"/>
  <c r="H49" i="7"/>
  <c r="G49" i="7"/>
  <c r="M30" i="7"/>
  <c r="M185" i="7"/>
  <c r="M124" i="7"/>
  <c r="M22" i="7"/>
  <c r="M167" i="7"/>
  <c r="M96" i="7"/>
  <c r="M72" i="7"/>
  <c r="M186" i="7"/>
  <c r="M120" i="7"/>
  <c r="M21" i="7"/>
  <c r="M163" i="7"/>
  <c r="M85" i="7"/>
  <c r="M47" i="7"/>
  <c r="M190" i="7"/>
  <c r="M102" i="7"/>
  <c r="M117" i="7"/>
  <c r="M92" i="1"/>
  <c r="M62" i="1"/>
  <c r="M283" i="1"/>
  <c r="K190" i="1"/>
  <c r="J190" i="1"/>
  <c r="I190" i="1"/>
  <c r="H190" i="1"/>
  <c r="G190" i="1"/>
  <c r="K124" i="1"/>
  <c r="J124" i="1"/>
  <c r="I124" i="1"/>
  <c r="H124" i="1"/>
  <c r="G124" i="1"/>
  <c r="M258" i="1"/>
  <c r="M157" i="1"/>
  <c r="M205" i="1"/>
  <c r="M150" i="1"/>
  <c r="M215" i="1"/>
  <c r="M112" i="1"/>
  <c r="M197" i="1"/>
  <c r="M140" i="1"/>
  <c r="M198" i="1"/>
  <c r="M136" i="1"/>
  <c r="M273" i="1"/>
  <c r="M225" i="1"/>
  <c r="M131" i="1"/>
  <c r="M272" i="1"/>
  <c r="M219" i="1"/>
  <c r="M265" i="1"/>
  <c r="M214" i="1"/>
  <c r="M231" i="1"/>
  <c r="M141" i="1"/>
  <c r="M188" i="1"/>
  <c r="M278" i="1"/>
  <c r="M111" i="1"/>
  <c r="M276" i="1"/>
  <c r="M193" i="1"/>
  <c r="M189" i="1"/>
  <c r="M229" i="1"/>
  <c r="M151" i="1"/>
  <c r="M245" i="1"/>
  <c r="M168" i="1"/>
  <c r="M238" i="1"/>
  <c r="M144" i="1"/>
  <c r="M252" i="1"/>
  <c r="M175" i="1"/>
  <c r="M244" i="1"/>
  <c r="M117" i="1"/>
  <c r="M275" i="1"/>
  <c r="M230" i="1"/>
  <c r="M248" i="1"/>
  <c r="M165" i="1"/>
  <c r="M249" i="1"/>
  <c r="M192" i="1"/>
  <c r="M247" i="1"/>
  <c r="M253" i="1"/>
  <c r="M183" i="1"/>
  <c r="M222" i="1"/>
  <c r="M138" i="1"/>
  <c r="M213" i="1"/>
  <c r="M121" i="1"/>
  <c r="M204" i="1"/>
  <c r="M280" i="1"/>
  <c r="M110" i="1"/>
  <c r="M187" i="1"/>
  <c r="M237" i="1"/>
  <c r="M174" i="1"/>
  <c r="M153" i="1"/>
  <c r="M246" i="1"/>
  <c r="M216" i="1"/>
  <c r="M251" i="1"/>
  <c r="M166" i="1"/>
  <c r="M260" i="1"/>
  <c r="M172" i="1"/>
  <c r="M242" i="1"/>
  <c r="M161" i="1"/>
  <c r="M236" i="1"/>
  <c r="M115" i="1"/>
  <c r="M241" i="1"/>
  <c r="M139" i="1"/>
  <c r="M127" i="1"/>
  <c r="M257" i="1"/>
  <c r="M200" i="1"/>
  <c r="M264" i="1"/>
  <c r="M177" i="1"/>
  <c r="M221" i="1"/>
  <c r="M155" i="1"/>
  <c r="M259" i="1"/>
  <c r="M164" i="1"/>
  <c r="M210" i="1"/>
  <c r="M143" i="1"/>
  <c r="M184" i="1"/>
  <c r="M202" i="1"/>
  <c r="M240" i="1"/>
  <c r="M196" i="1"/>
  <c r="M146" i="1"/>
  <c r="M195" i="1"/>
  <c r="M282" i="1"/>
  <c r="M171" i="1"/>
  <c r="M279" i="1"/>
  <c r="M212" i="1"/>
  <c r="M119" i="1"/>
  <c r="M167" i="1"/>
  <c r="M211" i="1"/>
  <c r="M271" i="1"/>
  <c r="M113" i="1"/>
  <c r="M243" i="1"/>
  <c r="M135" i="1"/>
  <c r="M269" i="1"/>
  <c r="M159" i="1"/>
  <c r="M281" i="1"/>
  <c r="M186" i="1"/>
  <c r="M123" i="1"/>
  <c r="M263" i="1"/>
  <c r="M176" i="1"/>
  <c r="M239" i="1"/>
  <c r="M163" i="1"/>
  <c r="M182" i="1"/>
  <c r="M109" i="1"/>
  <c r="M220" i="1"/>
  <c r="M169" i="1"/>
  <c r="M233" i="1"/>
  <c r="M254" i="1"/>
  <c r="M130" i="1"/>
  <c r="M129" i="1"/>
  <c r="M118" i="1"/>
  <c r="M234" i="1"/>
  <c r="M133" i="1"/>
  <c r="M132" i="1"/>
  <c r="M170" i="1"/>
  <c r="M256" i="1"/>
  <c r="M208" i="1"/>
  <c r="M268" i="1"/>
  <c r="M160" i="1"/>
  <c r="M255" i="1"/>
  <c r="M206" i="1"/>
  <c r="M179" i="1"/>
  <c r="M180" i="1"/>
  <c r="M267" i="1"/>
  <c r="M148" i="1"/>
  <c r="M181" i="1"/>
  <c r="M142" i="1"/>
  <c r="M226" i="1"/>
  <c r="M262" i="1"/>
  <c r="M116" i="1"/>
  <c r="M218" i="1"/>
  <c r="M122" i="1"/>
  <c r="M173" i="1"/>
  <c r="M250" i="1"/>
  <c r="M261" i="1"/>
  <c r="M203" i="1"/>
  <c r="M114" i="1"/>
  <c r="M274" i="1"/>
  <c r="M178" i="1"/>
  <c r="M194" i="1"/>
  <c r="M154" i="1"/>
  <c r="M134" i="1"/>
  <c r="M217" i="1"/>
  <c r="M266" i="1"/>
  <c r="M125" i="1"/>
  <c r="M158" i="1"/>
  <c r="M223" i="1"/>
  <c r="M137" i="1"/>
  <c r="M227" i="1"/>
  <c r="M152" i="1"/>
  <c r="M126" i="1"/>
  <c r="M207" i="1"/>
  <c r="M120" i="1"/>
  <c r="M228" i="1"/>
  <c r="M147" i="1"/>
  <c r="M201" i="1"/>
  <c r="M108" i="1"/>
  <c r="M232" i="1"/>
  <c r="M100" i="7" l="1"/>
  <c r="M154" i="7"/>
  <c r="M190" i="1"/>
  <c r="M49" i="7"/>
  <c r="M124" i="1"/>
  <c r="M209" i="1"/>
  <c r="M145" i="1"/>
  <c r="K64" i="1"/>
  <c r="J64" i="1"/>
  <c r="I64" i="1"/>
  <c r="H64" i="1"/>
  <c r="G64" i="1"/>
  <c r="G63" i="1"/>
  <c r="M9" i="1"/>
  <c r="M91" i="1"/>
  <c r="M18" i="1"/>
  <c r="M101" i="1"/>
  <c r="M71" i="1"/>
  <c r="M55" i="1"/>
  <c r="M83" i="1"/>
  <c r="M107" i="1"/>
  <c r="M96" i="1"/>
  <c r="M7" i="1"/>
  <c r="M45" i="1"/>
  <c r="M53" i="1"/>
  <c r="M99" i="1"/>
  <c r="M74" i="1"/>
  <c r="M6" i="1"/>
  <c r="M57" i="1"/>
  <c r="M58" i="1"/>
  <c r="M24" i="1"/>
  <c r="M60" i="1"/>
  <c r="M20" i="1"/>
  <c r="M41" i="1"/>
  <c r="M64" i="1" l="1"/>
  <c r="M19" i="1"/>
  <c r="M42" i="1"/>
  <c r="M98" i="1"/>
  <c r="M34" i="1"/>
  <c r="M4" i="1"/>
  <c r="M33" i="1"/>
  <c r="M84" i="1"/>
  <c r="M94" i="1"/>
  <c r="M77" i="1"/>
  <c r="M8" i="1"/>
  <c r="M104" i="1"/>
  <c r="M26" i="1"/>
  <c r="M15" i="1"/>
  <c r="M97" i="1"/>
  <c r="M73" i="1"/>
  <c r="M100" i="1"/>
  <c r="M72" i="1"/>
  <c r="M82" i="1"/>
  <c r="M3" i="1"/>
  <c r="M35" i="1"/>
  <c r="M37" i="1"/>
  <c r="M23" i="1"/>
  <c r="M32" i="1"/>
  <c r="M52" i="1"/>
  <c r="M59" i="1"/>
  <c r="M88" i="1"/>
  <c r="M40" i="1"/>
  <c r="M76" i="1"/>
  <c r="M51" i="1"/>
  <c r="M75" i="1"/>
  <c r="M81" i="1"/>
  <c r="M11" i="1"/>
  <c r="M48" i="1"/>
  <c r="M14" i="1"/>
  <c r="M70" i="1"/>
  <c r="M36" i="1"/>
  <c r="M47" i="1"/>
  <c r="M69" i="1"/>
  <c r="M90" i="1"/>
  <c r="M46" i="1"/>
  <c r="M49" i="1"/>
  <c r="M79" i="1"/>
  <c r="M25" i="1"/>
  <c r="M2" i="1"/>
  <c r="M54" i="1"/>
  <c r="M12" i="1"/>
  <c r="M105" i="1"/>
  <c r="M44" i="1"/>
  <c r="M5" i="1"/>
  <c r="M89" i="1"/>
  <c r="M43" i="1"/>
  <c r="M27" i="1"/>
  <c r="M17" i="1"/>
  <c r="M16" i="1"/>
  <c r="M21" i="1"/>
  <c r="M38" i="1"/>
  <c r="M78" i="1"/>
  <c r="M102" i="1"/>
  <c r="M106" i="1"/>
  <c r="M87" i="1"/>
  <c r="M95" i="1"/>
  <c r="M31" i="1"/>
  <c r="M93" i="1"/>
  <c r="M50" i="1"/>
  <c r="M80" i="1"/>
  <c r="M39" i="1"/>
  <c r="M86" i="1"/>
  <c r="M29" i="1"/>
  <c r="M28" i="1"/>
  <c r="M61" i="1"/>
  <c r="M56" i="1"/>
  <c r="M30" i="1"/>
  <c r="K85" i="1" l="1"/>
  <c r="J85" i="1"/>
  <c r="I85" i="1"/>
  <c r="H85" i="1"/>
  <c r="G85" i="1"/>
  <c r="K63" i="1"/>
  <c r="J63" i="1"/>
  <c r="I63" i="1"/>
  <c r="H63" i="1"/>
  <c r="M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Forbes Cutler</author>
  </authors>
  <commentList>
    <comment ref="F514" authorId="0" shapeId="0" xr:uid="{C86C5487-71C7-4156-BF5D-D981F1C88892}">
      <text>
        <r>
          <rPr>
            <b/>
            <sz val="9"/>
            <color indexed="81"/>
            <rFont val="Tahoma"/>
            <family val="2"/>
          </rPr>
          <t>Forbes Cutler:</t>
        </r>
        <r>
          <rPr>
            <sz val="9"/>
            <color indexed="81"/>
            <rFont val="Tahoma"/>
            <family val="2"/>
          </rPr>
          <t xml:space="preserve">
If month starts on a Sat, there is no 2nd 5th weekday, only a 1st 5th weekday i.e.Monday 31st 2014.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Forbes Cutler</author>
  </authors>
  <commentList>
    <comment ref="F284" authorId="0" shapeId="0" xr:uid="{2919077D-E963-4189-99C8-2F6AF392B6F4}">
      <text>
        <r>
          <rPr>
            <b/>
            <sz val="9"/>
            <color indexed="81"/>
            <rFont val="Tahoma"/>
            <family val="2"/>
          </rPr>
          <t>Forbes Cutler:</t>
        </r>
        <r>
          <rPr>
            <sz val="9"/>
            <color indexed="81"/>
            <rFont val="Tahoma"/>
            <family val="2"/>
          </rPr>
          <t xml:space="preserve">
If month starts on a Sat, there is no 2nd 5th weekday, only a 1st 5th weekday i.e.Monday 31st 2014.
</t>
        </r>
      </text>
    </comment>
  </commentList>
</comments>
</file>

<file path=xl/sharedStrings.xml><?xml version="1.0" encoding="utf-8"?>
<sst xmlns="http://schemas.openxmlformats.org/spreadsheetml/2006/main" count="5015" uniqueCount="718">
  <si>
    <t>Lodge No.</t>
  </si>
  <si>
    <t>Lodge Name</t>
  </si>
  <si>
    <t>Mark</t>
  </si>
  <si>
    <r>
      <rPr>
        <b/>
        <u/>
        <sz val="11"/>
        <color rgb="FFFF0000"/>
        <rFont val="Calibri"/>
        <family val="2"/>
      </rPr>
      <t>↓</t>
    </r>
    <r>
      <rPr>
        <b/>
        <u/>
        <sz val="11"/>
        <color rgb="FFFF0000"/>
        <rFont val="Calibri"/>
        <family val="2"/>
        <scheme val="minor"/>
      </rPr>
      <t>if different to date on left↓</t>
    </r>
  </si>
  <si>
    <t>Guild of Freemen Lodge</t>
  </si>
  <si>
    <t>2nd Thurs Jan</t>
  </si>
  <si>
    <t>Vaudeville Lodge</t>
  </si>
  <si>
    <t>2nd Mon Jan</t>
  </si>
  <si>
    <t>Year</t>
  </si>
  <si>
    <t>Weekday Occurrence</t>
  </si>
  <si>
    <t>Day of Week</t>
  </si>
  <si>
    <t>Month</t>
  </si>
  <si>
    <t>Royal Naval Lodge</t>
  </si>
  <si>
    <t>3rd Thurs Jan</t>
  </si>
  <si>
    <t>Easter Friday</t>
  </si>
  <si>
    <t>1st weekday occurrence</t>
  </si>
  <si>
    <t>Sunday</t>
  </si>
  <si>
    <t>January</t>
  </si>
  <si>
    <t>Euston Lodge</t>
  </si>
  <si>
    <t>3rd Fri Jan</t>
  </si>
  <si>
    <t>2nd weekday occurrence</t>
  </si>
  <si>
    <t>Monday</t>
  </si>
  <si>
    <t>February</t>
  </si>
  <si>
    <t>Euclid Lodge</t>
  </si>
  <si>
    <t>3rd Tues Jan</t>
  </si>
  <si>
    <t>3rd weekday occurrence</t>
  </si>
  <si>
    <t>Tuesday</t>
  </si>
  <si>
    <t>March</t>
  </si>
  <si>
    <t>Piscator Lodge</t>
  </si>
  <si>
    <t>4th Fri Jan</t>
  </si>
  <si>
    <t>4th weekday occurrence</t>
  </si>
  <si>
    <t>Wednesday</t>
  </si>
  <si>
    <t>April</t>
  </si>
  <si>
    <t>King Solomon Lodge</t>
  </si>
  <si>
    <t>4th Tue Jan</t>
  </si>
  <si>
    <t>5th weekday occurrence</t>
  </si>
  <si>
    <t>Thursday</t>
  </si>
  <si>
    <t>May</t>
  </si>
  <si>
    <t>Wicket Lodge</t>
  </si>
  <si>
    <t>1st Fri Feb</t>
  </si>
  <si>
    <t>Friday</t>
  </si>
  <si>
    <t>June</t>
  </si>
  <si>
    <t>Carnarvon Lodge</t>
  </si>
  <si>
    <t>2nd Sat Feb</t>
  </si>
  <si>
    <t>Saturday</t>
  </si>
  <si>
    <t>July</t>
  </si>
  <si>
    <t>Dramatic Lodge</t>
  </si>
  <si>
    <t>2nd Mon Feb</t>
  </si>
  <si>
    <t>August</t>
  </si>
  <si>
    <t>Athlumney Menatschim Lodge</t>
  </si>
  <si>
    <t>2nd Wed Feb</t>
  </si>
  <si>
    <t>September</t>
  </si>
  <si>
    <t>Keystone Lodge</t>
  </si>
  <si>
    <t>2nd Thurs Feb</t>
  </si>
  <si>
    <t>October</t>
  </si>
  <si>
    <t>Commemoration Lodge</t>
  </si>
  <si>
    <t>2nd Fri Feb</t>
  </si>
  <si>
    <t>November</t>
  </si>
  <si>
    <t>Namik Kemal Lodge</t>
  </si>
  <si>
    <t>3rd Sat Feb</t>
  </si>
  <si>
    <t>December</t>
  </si>
  <si>
    <t>Scots Lodge</t>
  </si>
  <si>
    <t>3rd Mon Feb</t>
  </si>
  <si>
    <t>Prudence and Verity Lodge</t>
  </si>
  <si>
    <t>St. Mark's Lodge</t>
  </si>
  <si>
    <t>3rd Tues Feb</t>
  </si>
  <si>
    <t>Golden Square Lodge</t>
  </si>
  <si>
    <t>3rd Wed Feb</t>
  </si>
  <si>
    <t>3rd Thurs Feb</t>
  </si>
  <si>
    <t>Ubique Lodge</t>
  </si>
  <si>
    <t>Southwark Lodge</t>
  </si>
  <si>
    <t>4th Mon Feb</t>
  </si>
  <si>
    <t>Ethical Lodge</t>
  </si>
  <si>
    <t>1st Mon Mar</t>
  </si>
  <si>
    <t>St. John's Wood Lodge</t>
  </si>
  <si>
    <t>City Livery Lodge</t>
  </si>
  <si>
    <t>Johann Gutenberg Lodge</t>
  </si>
  <si>
    <t>1st Tue Mar</t>
  </si>
  <si>
    <t>Pro Minimis Lodge</t>
  </si>
  <si>
    <t>1st Thurs Mar</t>
  </si>
  <si>
    <t>FitzRoy Lodge</t>
  </si>
  <si>
    <t>2nd Mon Mar</t>
  </si>
  <si>
    <t>Maguncor Lodge</t>
  </si>
  <si>
    <t>2nd Wed Mar</t>
  </si>
  <si>
    <t>Drury Lane Lodge</t>
  </si>
  <si>
    <t>2nd Thurs Mar</t>
  </si>
  <si>
    <t>Royal Colonial Institute Lodge</t>
  </si>
  <si>
    <t>2nd Fri Mar</t>
  </si>
  <si>
    <t>Pickwick Lodge</t>
  </si>
  <si>
    <t>Hibernia Lodge</t>
  </si>
  <si>
    <t>3rd Mon Mar</t>
  </si>
  <si>
    <t>Camden Lodge</t>
  </si>
  <si>
    <t>3rd Wed Mar</t>
  </si>
  <si>
    <t>Eclectic and Empress Britannic Lodge</t>
  </si>
  <si>
    <t>3rd Thurs Mar</t>
  </si>
  <si>
    <t>Foundation Lodge</t>
  </si>
  <si>
    <t>4th Mon Mar</t>
  </si>
  <si>
    <t>Kelvin Lodge</t>
  </si>
  <si>
    <t>4th Tue Mar</t>
  </si>
  <si>
    <t>Abernethy Lodge</t>
  </si>
  <si>
    <t>1st Thurs Apr</t>
  </si>
  <si>
    <t>Semper Fidelis Lodge</t>
  </si>
  <si>
    <t>Highgate Lodge</t>
  </si>
  <si>
    <t>1st Sat Apr</t>
  </si>
  <si>
    <t>Brixton Lodge</t>
  </si>
  <si>
    <t>2nd Tues Apr</t>
  </si>
  <si>
    <t>Cenabis Bene Lodge</t>
  </si>
  <si>
    <t>Irenic Lodge</t>
  </si>
  <si>
    <t>3rd Wed Apr</t>
  </si>
  <si>
    <t>Thea Sinensis Lodge</t>
  </si>
  <si>
    <t>3rd Thurs April</t>
  </si>
  <si>
    <t>King Solomon's Quarries Lodge</t>
  </si>
  <si>
    <t>4th Thurs Apr</t>
  </si>
  <si>
    <t>Loyalty Lodge</t>
  </si>
  <si>
    <t>4th Fri Apr</t>
  </si>
  <si>
    <t>Imperial Lodge</t>
  </si>
  <si>
    <t>1st Wed May</t>
  </si>
  <si>
    <t>Egerton of Tatton Lodge</t>
  </si>
  <si>
    <t>2nd Mon May</t>
  </si>
  <si>
    <t>Mapesbury Lodge</t>
  </si>
  <si>
    <t>2nd Thurs May</t>
  </si>
  <si>
    <t>London East Africa Lodge</t>
  </si>
  <si>
    <t>3rd Sat May</t>
  </si>
  <si>
    <t>Prince of Wales Lodge</t>
  </si>
  <si>
    <t>3rd Mon May</t>
  </si>
  <si>
    <t>Epworth Lodge</t>
  </si>
  <si>
    <t>4th Fri May</t>
  </si>
  <si>
    <t>Alliance and Memorial Lodge</t>
  </si>
  <si>
    <t>4th Tue May</t>
  </si>
  <si>
    <t>Public Schools Lodge</t>
  </si>
  <si>
    <t>1st Wed Jun</t>
  </si>
  <si>
    <t>Centenary Lodge</t>
  </si>
  <si>
    <t>2nd Mon Jun</t>
  </si>
  <si>
    <t>Ruspini Lodge</t>
  </si>
  <si>
    <t>Thurs following 2nd Wed in Jun</t>
  </si>
  <si>
    <t>Tuscan Lodge</t>
  </si>
  <si>
    <t>3rd Mon Jun</t>
  </si>
  <si>
    <t>La France Lodge</t>
  </si>
  <si>
    <t>OKTI</t>
  </si>
  <si>
    <t>Old Kent (Time Immemorial) Lodge</t>
  </si>
  <si>
    <t>3rd Tue Jun</t>
  </si>
  <si>
    <t>Polytechnic Lodge</t>
  </si>
  <si>
    <t>Sanitarian Lodge</t>
  </si>
  <si>
    <t>4th Mon Jun</t>
  </si>
  <si>
    <t>Metropolitan Lodge of Mark Master Masons</t>
  </si>
  <si>
    <t>4th Tue Jun</t>
  </si>
  <si>
    <t>Prince Leopold Lodge</t>
  </si>
  <si>
    <t>4th Wed Jun</t>
  </si>
  <si>
    <t>Lodge of Clemency</t>
  </si>
  <si>
    <t>1st Sat Jul</t>
  </si>
  <si>
    <t>Eton and Harrow Lodge</t>
  </si>
  <si>
    <t>1st Mon Jul</t>
  </si>
  <si>
    <t>Friendship from Service Lodge</t>
  </si>
  <si>
    <t>Connaught Army and Navy Lodge</t>
  </si>
  <si>
    <t>2nd Wed Jul</t>
  </si>
  <si>
    <t>Minchenden Oak Lodge</t>
  </si>
  <si>
    <t>1st Wed Sept</t>
  </si>
  <si>
    <t>London Installed Mark Masters Lodge</t>
  </si>
  <si>
    <t>Mon before 2nd Wed Sep</t>
  </si>
  <si>
    <t>Orchestral Lodge</t>
  </si>
  <si>
    <t>1st Mon Sept</t>
  </si>
  <si>
    <t>London West Africa Lodge</t>
  </si>
  <si>
    <t>2nd Fri Sept</t>
  </si>
  <si>
    <t>Khalsa Lodge</t>
  </si>
  <si>
    <t>2nd Sat Sep</t>
  </si>
  <si>
    <t>Meridian Lodge</t>
  </si>
  <si>
    <t>3rd Wed Sep</t>
  </si>
  <si>
    <t>Barnet Mark Well Lodge</t>
  </si>
  <si>
    <t>3rd Mon Sep</t>
  </si>
  <si>
    <t>Composite Lodge</t>
  </si>
  <si>
    <t>4th Thurs Sep</t>
  </si>
  <si>
    <t>Roentgen Portal Lodge</t>
  </si>
  <si>
    <t>1st Thurs Oct</t>
  </si>
  <si>
    <t>Lapis Lapsus Lodge</t>
  </si>
  <si>
    <t>1st Mon Oct</t>
  </si>
  <si>
    <t>2nd Sat Oct</t>
  </si>
  <si>
    <t>Horus Lodge</t>
  </si>
  <si>
    <t>2nd Mon Oct</t>
  </si>
  <si>
    <t>Mallet and Chisel Lodge</t>
  </si>
  <si>
    <t>2nd Tue Oct</t>
  </si>
  <si>
    <t>Thistle Lodge</t>
  </si>
  <si>
    <t>BATI</t>
  </si>
  <si>
    <t>Bon Accord (Time Immemorial) Lodge</t>
  </si>
  <si>
    <t>3rd Thurs Oct</t>
  </si>
  <si>
    <t>St. James Lodge</t>
  </si>
  <si>
    <t>Albatross Lodge</t>
  </si>
  <si>
    <t>Equator Lodge</t>
  </si>
  <si>
    <t>3rd Fri Oct</t>
  </si>
  <si>
    <t>New Era Lodge</t>
  </si>
  <si>
    <t>3rd Sat Oct</t>
  </si>
  <si>
    <t>Italia Lodge</t>
  </si>
  <si>
    <t>3rd Mon Oct</t>
  </si>
  <si>
    <t>ISMA Lodge</t>
  </si>
  <si>
    <t>3rd Wed Oct</t>
  </si>
  <si>
    <t>Woodard Lodge</t>
  </si>
  <si>
    <t>The Macdonald Lodge</t>
  </si>
  <si>
    <t>Locomotion Lodge</t>
  </si>
  <si>
    <t>Henniker Lodge</t>
  </si>
  <si>
    <t>1st Fri Nov</t>
  </si>
  <si>
    <t>Gallipoli Lodge</t>
  </si>
  <si>
    <t>1st Sat Nov</t>
  </si>
  <si>
    <t>Spirit of Rugby Lodge</t>
  </si>
  <si>
    <t>United Service Lodge</t>
  </si>
  <si>
    <t>2nd Tue Nov</t>
  </si>
  <si>
    <t>Mahajan Lodge</t>
  </si>
  <si>
    <t>2nd Tues Nov</t>
  </si>
  <si>
    <t>Panmure Lodge</t>
  </si>
  <si>
    <t>3rd Wed Nov</t>
  </si>
  <si>
    <t>Onslow Lodge</t>
  </si>
  <si>
    <t>3rd Thurs Nov</t>
  </si>
  <si>
    <t>Halcyon Lodge</t>
  </si>
  <si>
    <t>Aegean Lodge</t>
  </si>
  <si>
    <t>4th Tues Nov</t>
  </si>
  <si>
    <t>Studholme Lodge</t>
  </si>
  <si>
    <t>4th Thurs Nov</t>
  </si>
  <si>
    <t>London Mark Provincial Grand Stewards' Lodge</t>
  </si>
  <si>
    <t>Savage Club Lodge</t>
  </si>
  <si>
    <t>2nd Wed Dec</t>
  </si>
  <si>
    <t>University of London Lodge</t>
  </si>
  <si>
    <t>2nd Thurs Dec</t>
  </si>
  <si>
    <t>Britannic Lodge</t>
  </si>
  <si>
    <t>2nd Fri Dec</t>
  </si>
  <si>
    <t>Cornucopia Lodge</t>
  </si>
  <si>
    <t>2nd 5th Weekday Mar</t>
  </si>
  <si>
    <t>Installation</t>
  </si>
  <si>
    <t>I</t>
  </si>
  <si>
    <t>Helper column</t>
  </si>
  <si>
    <t>3rd Tue Feb(i); 4th Wed Apr; 4th Wed Oct;</t>
  </si>
  <si>
    <t>St. Mark's - 0001</t>
  </si>
  <si>
    <t>Prince of Wales - 0004</t>
  </si>
  <si>
    <t>Mark dates</t>
  </si>
  <si>
    <t>1st Mon Feb; 3rd Mon May(i); 4th Mon Oct;</t>
  </si>
  <si>
    <t>Mallet and Chisel - 0005</t>
  </si>
  <si>
    <t>2nd Wed Jan; 3rd Wed Apr; 2nd Tue Oct(i);</t>
  </si>
  <si>
    <t>Carnarvon - 0007</t>
  </si>
  <si>
    <t>3rd Thu Feb(i); 3rd Thu May; Lst Thu Nov;</t>
  </si>
  <si>
    <t>Thistle - 0008</t>
  </si>
  <si>
    <t>4th Fri Jan; 3rd Mon Apr; 2nd Tue Oct(i);</t>
  </si>
  <si>
    <t>Southwark - 0022</t>
  </si>
  <si>
    <t>4th Mon Feb(i); 2nd Tue May; 3rd Tue Oct;</t>
  </si>
  <si>
    <t>The Macdonald - 0104</t>
  </si>
  <si>
    <t>The Keystone - 0107</t>
  </si>
  <si>
    <t>2nd Thu Feb(i); 2nd Thu May; 2nd Thu Nov;</t>
  </si>
  <si>
    <t>Panmure - 0139</t>
  </si>
  <si>
    <t>4th Wed Feb; 3rd Wed Nov(i);</t>
  </si>
  <si>
    <t>New Era - 0176</t>
  </si>
  <si>
    <t>1st Sat Feb; 3rd Sat Jun; 3rd Sat Oct(i);</t>
  </si>
  <si>
    <t>Studholme - 0197</t>
  </si>
  <si>
    <t>1st Thu May; 4th Thu Nov(i);</t>
  </si>
  <si>
    <t>Athlumney Menatschim - 0224</t>
  </si>
  <si>
    <t>2nd Wed Feb(i); 2nd Wed Oct;</t>
  </si>
  <si>
    <t>Brixton - 0234</t>
  </si>
  <si>
    <t>4th Tue Feb; 2nd Tue Apr(i); 1st Mon Dec;</t>
  </si>
  <si>
    <t>Prince Leopold - 0238</t>
  </si>
  <si>
    <t>3rd Mon Mar; 4th Wed Jun(i); 2nd Thu Sep;</t>
  </si>
  <si>
    <t>Royal Naval - 0239</t>
  </si>
  <si>
    <t>3rd Thu Jan(i); 3rd Thu Apr; 3rd Thu Jun;</t>
  </si>
  <si>
    <t>Henniker - 0315</t>
  </si>
  <si>
    <t>1st Fri Feb; 2nd Fri May; 1st Fri Nov(i);</t>
  </si>
  <si>
    <t>Onslow - 0361</t>
  </si>
  <si>
    <t>4th Tue Mar; 1st Tue Jul; 3rd Thu Nov(i);</t>
  </si>
  <si>
    <t>Ruspini - 0363</t>
  </si>
  <si>
    <t>Thursday immediately following 2nd Wed Mar;&amp; Jun(i);</t>
  </si>
  <si>
    <t>King Solomon - 0385</t>
  </si>
  <si>
    <t>4th Tue Jan(i); 1st Thu May; 2nd Thu Nov;</t>
  </si>
  <si>
    <t>Euston - 0399</t>
  </si>
  <si>
    <t>3rd Fri Jan(i); 3rd Thu Jun;</t>
  </si>
  <si>
    <t>Egerton of Tatton - 0400</t>
  </si>
  <si>
    <t>2nd Mon May(i); 1st Thu Nov;</t>
  </si>
  <si>
    <t>Scots - 0406</t>
  </si>
  <si>
    <t>3rd Mon Feb(i); 3rd Mon Oct;</t>
  </si>
  <si>
    <t>Eclectic and Empress Britannic - 0410</t>
  </si>
  <si>
    <t>3rd Thu Mar(i); 2nd Mon Nov;</t>
  </si>
  <si>
    <t>Ubique - 0411</t>
  </si>
  <si>
    <t>3rd Thu Feb(i); 4th Mon Jun;</t>
  </si>
  <si>
    <t>Camden - 0418</t>
  </si>
  <si>
    <t>Hibernia - 0431</t>
  </si>
  <si>
    <t>3rd Mon Mar(i); 3rd Thu Nov;</t>
  </si>
  <si>
    <t>Britannic - 0433</t>
  </si>
  <si>
    <t>3rd Fri Apr; 2nd Tue Oct; 2nd Fri Dec(i);</t>
  </si>
  <si>
    <t>Tuscan - 0454</t>
  </si>
  <si>
    <t>3rd Mon Jun(i); 4th Mon Oct;</t>
  </si>
  <si>
    <t>Ethical - 0458</t>
  </si>
  <si>
    <t>1st Mon Mar; 4th Mon Jun; 4th Fri Oct(i);</t>
  </si>
  <si>
    <t>La France - 0459</t>
  </si>
  <si>
    <t>3rd Mon Apr; 3rd Mon Jun(i); 3rd Mon Oct;</t>
  </si>
  <si>
    <t>Savage Club - 0469</t>
  </si>
  <si>
    <t>2nd Wed Mar; 2nd Wed Oct; 2nd Wed Dec(i);</t>
  </si>
  <si>
    <t>Dramatic - 0487</t>
  </si>
  <si>
    <t>2nd Mon Feb(i); 1st Tue Oct;</t>
  </si>
  <si>
    <t>United Service - 0489</t>
  </si>
  <si>
    <t>2nd Tue Feb; 3rd Wed May; 2nd Tue Nov(i);</t>
  </si>
  <si>
    <t>Abernethy - 0569</t>
  </si>
  <si>
    <t>Wicket - 0577</t>
  </si>
  <si>
    <t>1st Fri Feb(i); 1st Fri Nov;</t>
  </si>
  <si>
    <t>Carnarvon - 0616</t>
  </si>
  <si>
    <t>2nd Sat Feb(i); 2nd Sat Jun; 2nd Sat Oct;</t>
  </si>
  <si>
    <t>Horus - 0633</t>
  </si>
  <si>
    <t>3rd Mon May; 2nd Mon Oct(i);</t>
  </si>
  <si>
    <t>Imperial - 0643</t>
  </si>
  <si>
    <t>2nd Tue Mar; 1st Wed May(i); 1st Wed Sep;</t>
  </si>
  <si>
    <t>Guild of Freemen - 0647</t>
  </si>
  <si>
    <t>2nd Thu Jan(i); 3rd Thu Mar; 2nd Thu Nov;</t>
  </si>
  <si>
    <t>Alliance and Memorial - 0652</t>
  </si>
  <si>
    <t>1st Tue Mar; 4th Tue May(i); 1st Tue Nov;</t>
  </si>
  <si>
    <t>Royal Colonial Institute - 0728</t>
  </si>
  <si>
    <t>2nd Fri Mar(i); 3rd Fri Jun; 1st Fri Dec;</t>
  </si>
  <si>
    <t>Kelvin - 0742</t>
  </si>
  <si>
    <t>4th Tue Jan; 4th Tue Mar(i); 1st Tue Nov;</t>
  </si>
  <si>
    <t>Connaught Army and Navy - 0748</t>
  </si>
  <si>
    <t>2nd Wed Jul(i); 1st Tue Dec;</t>
  </si>
  <si>
    <t>Sanitarian - 0786</t>
  </si>
  <si>
    <t>4th Wed Feb; 4th Mon Jun(i); 3rd Mon Sep;</t>
  </si>
  <si>
    <t>Public Schools - 0791</t>
  </si>
  <si>
    <t>2nd Wed Feb; 1st Wed Jun(i);</t>
  </si>
  <si>
    <t>Vaudeville - 0801</t>
  </si>
  <si>
    <t>2nd Mon Jan(i); 4th Tue Jun; 1st Mon Oct;</t>
  </si>
  <si>
    <t>Composite - 0802</t>
  </si>
  <si>
    <t>4th Thu Apr; 4th Thu Sep(i); 2nd Thu Dec;</t>
  </si>
  <si>
    <t>FitzRoy - 0815</t>
  </si>
  <si>
    <t>2nd Mon Mar(i); 2nd Mon Sep; 2nd Mon Nov;</t>
  </si>
  <si>
    <t>King Solomon's Quarries - 0828</t>
  </si>
  <si>
    <t>4th Thu Jan; 4th Thu Apr(i); 4th Thu Nov;</t>
  </si>
  <si>
    <t>Eton and Harrow - 0830</t>
  </si>
  <si>
    <t>1st Mon Jul(i); 3rd Tue Nov;</t>
  </si>
  <si>
    <t>Maguncor - 0833</t>
  </si>
  <si>
    <t>2nd Wed Mar(i); 2nd Wed Jul; 2nd Wed Oct;</t>
  </si>
  <si>
    <t>Cenabis Bene - 0835</t>
  </si>
  <si>
    <t>2nd Tue Apr(i); 1st Wed Sep;</t>
  </si>
  <si>
    <t>Golden Square - 0856</t>
  </si>
  <si>
    <t>3rd Wed Feb(i); 2nd Wed Apr; 2nd Wed Oct;</t>
  </si>
  <si>
    <t>Barnet Mark Well - 0897</t>
  </si>
  <si>
    <t>4th Tue May; 3rd Mon Sep(i); 1st Tue Dec;</t>
  </si>
  <si>
    <t>Irenic - 0899</t>
  </si>
  <si>
    <t>3rd Wed Apr(i); 3rd Wed Oct;</t>
  </si>
  <si>
    <t>Foundation - 0921</t>
  </si>
  <si>
    <t>4th Mon Mar(i); 4th Mon Sep;</t>
  </si>
  <si>
    <t>Prudence and Verity - 0932</t>
  </si>
  <si>
    <t>3rd Mon Feb(i); 3rd Tue Oct;</t>
  </si>
  <si>
    <t>Meridian - 0936</t>
  </si>
  <si>
    <t>4th Wed Apr; 3rd Wed Sep(i);</t>
  </si>
  <si>
    <t>Johann Gutenberg - 0976</t>
  </si>
  <si>
    <t>1st Tue Mar(i); 4th Tue Sep;</t>
  </si>
  <si>
    <t>Lapis Lapsus - 0987</t>
  </si>
  <si>
    <t>3rd Wed Jun; 1st Mon Oct(i);</t>
  </si>
  <si>
    <t>Isma - 0996</t>
  </si>
  <si>
    <t>4th Tue Feb; 1st Wed May; 3rd Wed Oct(i);</t>
  </si>
  <si>
    <t>Pickwick - 0997</t>
  </si>
  <si>
    <t>2nd Fri Mar; 3rd Fri Jun; 4th Fri Oct(i);</t>
  </si>
  <si>
    <t>Polytechnic - 1071</t>
  </si>
  <si>
    <t>3rd Tue Apr; 3rd Tue Jun(i); 1st Wed Oct;</t>
  </si>
  <si>
    <t>Thea Sinensis - 1074</t>
  </si>
  <si>
    <t>1st Wed Feb; 3rd Thu Apr(i); 4th Thu Oct;</t>
  </si>
  <si>
    <t>Commemoration - 1091</t>
  </si>
  <si>
    <t>2nd Fri Feb(i); 4th Tue May; 4th Wed Oct;</t>
  </si>
  <si>
    <t>Mapesbury - 1105</t>
  </si>
  <si>
    <t>4th Thu May(i); 1st Thu Sep;</t>
  </si>
  <si>
    <t>Halcyon - 1118</t>
  </si>
  <si>
    <t>3rd Thu Jan; 4th Thu May; 3rd Thu Nov(i);</t>
  </si>
  <si>
    <t>St. John's Wood - 1124</t>
  </si>
  <si>
    <t>1st Mon Mar(i); 4th Wed May; 1st Wed Nov;</t>
  </si>
  <si>
    <t>Minchenden Oak - 1152</t>
  </si>
  <si>
    <t>2nd Wed Mar; 3rd Wed Jun; 1st Wed Sep(i);</t>
  </si>
  <si>
    <t>Pro Minimis - 1160</t>
  </si>
  <si>
    <t>1st Thu Mar(i); 2nd Thu Jun; 1st Thu Dec;</t>
  </si>
  <si>
    <t>Centenary - 1200</t>
  </si>
  <si>
    <t>4th Mon Apr; 2nd Mon Jun(i); 3rd Mon Oct;</t>
  </si>
  <si>
    <t>London Installed Mark Masters - 1227</t>
  </si>
  <si>
    <t>4th Mon Feb; Mon before 2nd Wed Sep(i);</t>
  </si>
  <si>
    <t>Drury Lane - 1228</t>
  </si>
  <si>
    <t>2nd Thu Mar(i); 4th Thu May; 3rd Thu Oct;</t>
  </si>
  <si>
    <t>Woodard - 1265</t>
  </si>
  <si>
    <t>4th Tue Mar; 3rd Wed Oct(i);</t>
  </si>
  <si>
    <t>Friendship from Service - 1313</t>
  </si>
  <si>
    <t>2nd Thu Jan; 1st Mon Jul(i); 1st Thu Sep;</t>
  </si>
  <si>
    <t>Piscator - 1363</t>
  </si>
  <si>
    <t>4th Fri Jan(i); 4th Fri Apr; 1st Mon Dec;</t>
  </si>
  <si>
    <t>University of London - 1389</t>
  </si>
  <si>
    <t>2nd Thu Feb; 1st Wed May; 2nd Thu Dec(i);</t>
  </si>
  <si>
    <t>London West Africa - 1457</t>
  </si>
  <si>
    <t>3rd Fri Mar; 2nd Fri Jun; 2nd Fri Sep(i);</t>
  </si>
  <si>
    <t>Euclid - 1748</t>
  </si>
  <si>
    <t>3rd Tue Jan(i); 1st Wed Jun; 4th Tue Oct;</t>
  </si>
  <si>
    <t>Italia - 1467</t>
  </si>
  <si>
    <t>2nd Mon Jun; 3rd Mon Oct(i);</t>
  </si>
  <si>
    <t>Semper Fidelis - 1473</t>
  </si>
  <si>
    <t>1st Thu Apr(i); 2nd Wed Jun; 3rd Wed Dec;</t>
  </si>
  <si>
    <t>Orchestral - 1534</t>
  </si>
  <si>
    <t>1st Wed Mar; 2nd Mon Jun; 1st Mon Sep(i);</t>
  </si>
  <si>
    <t>London East Africa - 1604</t>
  </si>
  <si>
    <t>3rd Sat May(i); 3rd Sat Nov;</t>
  </si>
  <si>
    <t>City Livery - 1638</t>
  </si>
  <si>
    <t>Roentgen Portal - 1767</t>
  </si>
  <si>
    <t>2nd Thu Mar; 2nd Thu Jun; 1st Thu Oct(i);</t>
  </si>
  <si>
    <t>Epworth - 1771</t>
  </si>
  <si>
    <t>3rd Mon Feb; 4th Fri May(i); 1st Fri Nov;</t>
  </si>
  <si>
    <t>The Mahajan - 1856</t>
  </si>
  <si>
    <t>2nd Mon Mar; 2nd Tue Nov(i);</t>
  </si>
  <si>
    <t>London Mark Provincial Grand Stewards' - 1870</t>
  </si>
  <si>
    <t>Equator - 1889</t>
  </si>
  <si>
    <t>3rd Fri Feb; 3rd Fri May; 3rd Fri Oct(i);</t>
  </si>
  <si>
    <t>St. James - 1895</t>
  </si>
  <si>
    <t>4th Thu Mar; 3rd Thu Oct(i);</t>
  </si>
  <si>
    <t>Highgate - 1909</t>
  </si>
  <si>
    <t>1st Sat Apr(i); 4th Sat Jun; 1st Sat Dec;</t>
  </si>
  <si>
    <t>Lodge of Clemency - 1953</t>
  </si>
  <si>
    <t>2nd Sat Jan; 1st Sat Jul(i);</t>
  </si>
  <si>
    <t>Aegean - 1978</t>
  </si>
  <si>
    <t>4th Tue Mar; 4th Tue Nov(i);</t>
  </si>
  <si>
    <t>Gallipoli - 1984</t>
  </si>
  <si>
    <t>3rd Sat Feb; 3rd Sat May; 1st Sat Nov(i);</t>
  </si>
  <si>
    <t>Loyalty - 1989</t>
  </si>
  <si>
    <t>4th Fri Apr(i); 3rd Fri Jun; 3rd Sat Sep;</t>
  </si>
  <si>
    <t>Albatross - 1994</t>
  </si>
  <si>
    <t>1st Tue May; 4th Tue Jun; 3rd Thu Oct(i);</t>
  </si>
  <si>
    <t>The Ralph Reader - 1997</t>
  </si>
  <si>
    <t>2nd Sat Feb; 2nd Sat May; 2nd Sat Oct(i);</t>
  </si>
  <si>
    <t>Namik Kemal - 2001</t>
  </si>
  <si>
    <t>Metropolitan - 2003</t>
  </si>
  <si>
    <t>Locomotion - 2013</t>
  </si>
  <si>
    <t>2nd Wed Feb; 2nd Fri Apr; Lst Weekday Oct(i);</t>
  </si>
  <si>
    <t>Spirit of Rugby - 2014</t>
  </si>
  <si>
    <t>2nd Fri Feb; 2nd Thu Apr; 1st Sat Nov(i);</t>
  </si>
  <si>
    <t>Khalsa - 2022</t>
  </si>
  <si>
    <t>2nd Sat Jan; 4th Sat Apr; 2nd Sat Sep(i);</t>
  </si>
  <si>
    <t>Bon Accord - 9003</t>
  </si>
  <si>
    <t>3rd Thu Feb; 3rd Thu Apr; 3rd Thu Oct(i);</t>
  </si>
  <si>
    <t>Old Kent - 9004</t>
  </si>
  <si>
    <t>4th Tue Feb; 3rd Tue Jun(i); 4th Tue Nov;</t>
  </si>
  <si>
    <t>Cornucopia - 9017</t>
  </si>
  <si>
    <t>2nd fifth weekday in March (i) &amp; 1st Tues in Oct.</t>
  </si>
  <si>
    <t>Meeting Date</t>
  </si>
  <si>
    <t>Meeting</t>
  </si>
  <si>
    <t>4th Wed Apr</t>
  </si>
  <si>
    <t>4th Wed Oct</t>
  </si>
  <si>
    <t>1st Mon Feb</t>
  </si>
  <si>
    <t>4th Mon Oct</t>
  </si>
  <si>
    <t>2nd Wed Jan</t>
  </si>
  <si>
    <t>3rd Thu May</t>
  </si>
  <si>
    <t>Lst Thu Nov</t>
  </si>
  <si>
    <t>3rd Mon Apr</t>
  </si>
  <si>
    <t>2nd Tue May</t>
  </si>
  <si>
    <t>3rd Tue Oct</t>
  </si>
  <si>
    <t>2nd Thu May</t>
  </si>
  <si>
    <t>2nd Thu Nov</t>
  </si>
  <si>
    <t>1st Sat Feb</t>
  </si>
  <si>
    <t>3rd Sat Jun</t>
  </si>
  <si>
    <t>1st Thu May</t>
  </si>
  <si>
    <t>2nd Wed Oct</t>
  </si>
  <si>
    <t>4th Tue Feb</t>
  </si>
  <si>
    <t>1st Mon Dec</t>
  </si>
  <si>
    <t>2nd Thu Sep</t>
  </si>
  <si>
    <t>3rd Thu Apr</t>
  </si>
  <si>
    <t>3rd Thu Jun</t>
  </si>
  <si>
    <t>4th Wed Feb</t>
  </si>
  <si>
    <t>2nd Fri May</t>
  </si>
  <si>
    <t>1st Tue Jul</t>
  </si>
  <si>
    <t>Thursday immediately following 2nd Wed Mar</t>
  </si>
  <si>
    <t>1st Thu Nov</t>
  </si>
  <si>
    <t>2nd Mon Nov</t>
  </si>
  <si>
    <t>3rd Thu Nov</t>
  </si>
  <si>
    <t>3rd Fri Apr</t>
  </si>
  <si>
    <t>4th Fri Oct</t>
  </si>
  <si>
    <t>3rd Mon Oct;</t>
  </si>
  <si>
    <t>1st Tue Oct</t>
  </si>
  <si>
    <t>2nd Tue Feb</t>
  </si>
  <si>
    <t>3rd Wed May</t>
  </si>
  <si>
    <t>4th Thu Jan</t>
  </si>
  <si>
    <t>2nd Sat Jun</t>
  </si>
  <si>
    <t>2nd Tue Mar</t>
  </si>
  <si>
    <t>1st Wed Sep</t>
  </si>
  <si>
    <t>3rd Thu Mar</t>
  </si>
  <si>
    <t>1st Tue Nov</t>
  </si>
  <si>
    <t>3rd Fri Jun</t>
  </si>
  <si>
    <t>1st Fri Dec</t>
  </si>
  <si>
    <t>1st Tue Dec</t>
  </si>
  <si>
    <t>4th Thu Apr</t>
  </si>
  <si>
    <t>2nd Thu Dec</t>
  </si>
  <si>
    <t>2nd Mon Sep</t>
  </si>
  <si>
    <t>4th Thu Nov</t>
  </si>
  <si>
    <t>3rd Tue Nov</t>
  </si>
  <si>
    <t>2nd Wed Apr</t>
  </si>
  <si>
    <t>4th Mon Sep</t>
  </si>
  <si>
    <t>4th Tue Sep</t>
  </si>
  <si>
    <t>3rd Wed Jun</t>
  </si>
  <si>
    <t>3rd Tue Apr</t>
  </si>
  <si>
    <t>1st Wed Oct</t>
  </si>
  <si>
    <t>1st Wed Feb</t>
  </si>
  <si>
    <t>4th Thu Oct</t>
  </si>
  <si>
    <t>1st Thu Sep</t>
  </si>
  <si>
    <t>3rd Thu Jan</t>
  </si>
  <si>
    <t>4th Thu May</t>
  </si>
  <si>
    <t>4th Wed May</t>
  </si>
  <si>
    <t>1st Wed Nov</t>
  </si>
  <si>
    <t>2nd Thu Jun</t>
  </si>
  <si>
    <t>1st Thu Dec</t>
  </si>
  <si>
    <t>4th Mon Apr</t>
  </si>
  <si>
    <t>3rd Thu Oct</t>
  </si>
  <si>
    <t>2nd Thu Jan</t>
  </si>
  <si>
    <t>2nd Thu Feb</t>
  </si>
  <si>
    <t>3rd Fri Mar</t>
  </si>
  <si>
    <t>2nd Fri Jun</t>
  </si>
  <si>
    <t>2nd Wed Jun</t>
  </si>
  <si>
    <t>3rd Wed Dec</t>
  </si>
  <si>
    <t>1st Wed Mar</t>
  </si>
  <si>
    <t>3rd Sat Nov</t>
  </si>
  <si>
    <t>4th Tue Oct</t>
  </si>
  <si>
    <t>2nd Thu Mar</t>
  </si>
  <si>
    <t>1st Thu Jun</t>
  </si>
  <si>
    <t>3rd Fri Feb</t>
  </si>
  <si>
    <t>3rd Fri May</t>
  </si>
  <si>
    <t>1st 5th weekday Oct</t>
  </si>
  <si>
    <t>4th Thu Mar</t>
  </si>
  <si>
    <t>4th Sat Jun</t>
  </si>
  <si>
    <t>1st Sat Dec</t>
  </si>
  <si>
    <t>2nd Sat Jan</t>
  </si>
  <si>
    <t>3rd Sat Sep</t>
  </si>
  <si>
    <t>1st Tue May</t>
  </si>
  <si>
    <t>2nd Sat May</t>
  </si>
  <si>
    <t>2nd Fri Apr</t>
  </si>
  <si>
    <t>2nd Thu Apr</t>
  </si>
  <si>
    <t>4th Sat Apr</t>
  </si>
  <si>
    <t>3rd Thu Feb</t>
  </si>
  <si>
    <t>4th Tue Nov</t>
  </si>
  <si>
    <t>1st Tues Oct</t>
  </si>
  <si>
    <t>PGL</t>
  </si>
  <si>
    <t>2nd Thu Jul</t>
  </si>
  <si>
    <t>Mark/RAM</t>
  </si>
  <si>
    <t>PGL MARK ANNUAL MEETING</t>
  </si>
  <si>
    <t>Tips</t>
  </si>
  <si>
    <t>last weekday Oct</t>
  </si>
  <si>
    <t>1st 5th Weekday Jan; 1st 5th Weekday Mar; 1st 5th Weekday Oct(i);</t>
  </si>
  <si>
    <t>1st 5th Weekday Oct</t>
  </si>
  <si>
    <t>1st 5th Weekday Jan</t>
  </si>
  <si>
    <t>1st 5th Weekday Mar</t>
  </si>
  <si>
    <t>Masonic Year beginning 1 Sept</t>
  </si>
  <si>
    <t>Weekday = Excel WORKDAY = Monday to Friday</t>
  </si>
  <si>
    <t>RAM dates</t>
  </si>
  <si>
    <t>Mark Lodge</t>
  </si>
  <si>
    <t>RAM Lodge</t>
  </si>
  <si>
    <t>Mother - 0001</t>
  </si>
  <si>
    <t>3rd Tue Feb; 3rd Mon Jun(i);</t>
  </si>
  <si>
    <t>1st Mon Feb(i); 3rd Mon May; 4th Mon Oct;</t>
  </si>
  <si>
    <t>2nd Wed Jan(i); 3rd Wed Apr; 2nd Tue Oct</t>
  </si>
  <si>
    <t>3rd Thu Feb; 3rd Thu May; Lst Thu Nov(i)</t>
  </si>
  <si>
    <t>4th Fri Jan; 3rd Mon Apr(i); 2nd Tue Oct</t>
  </si>
  <si>
    <t>4th Mon Feb; 2nd Tue May(i); 3rd Tue Oct;</t>
  </si>
  <si>
    <t>1st 5th Weekday Jan; 1st 5th Weekday Mar(i); 1st 5th Weekday Oct</t>
  </si>
  <si>
    <t>Hospitallers - 0107</t>
  </si>
  <si>
    <t>2nd Thu Feb; 2nd Thu May(i); 2nd Thu Nov;</t>
  </si>
  <si>
    <t>4th Wed Feb(i); 3rd Wed Nov</t>
  </si>
  <si>
    <t>1st Sat Feb(i); 3rd Sat Jun; 3rd Sat Oct</t>
  </si>
  <si>
    <t>1st Thu May(i); 4th Thu Nov</t>
  </si>
  <si>
    <t>1st Thu Mar(i); 2nd Wed Oct;</t>
  </si>
  <si>
    <t>4th Tue Feb; 2nd Tue Apr; 1st Mon Dec(i)</t>
  </si>
  <si>
    <t>3rd Mon Mar; 4th Wed Jun; 2nd Thu Sep(i);</t>
  </si>
  <si>
    <t>3rd Thu Jan; 3rd Thu Apr; 3rd Thu Jun(i)</t>
  </si>
  <si>
    <t>1st Fri Feb(i); 2nd Fri May; 1st Fri Nov</t>
  </si>
  <si>
    <t>4th Tue Mar(i); 1st Tue Jul; 3rd Thu Nov</t>
  </si>
  <si>
    <t>Thursday immediately following 2nd Wed Mar;&amp; Sept(i)</t>
  </si>
  <si>
    <t>4th Tue Jan; 1st Thu May; 2nd Thu Nov(i)</t>
  </si>
  <si>
    <t>3rd Fri Jan(i); 3rd Thu Jul;</t>
  </si>
  <si>
    <t>Is July correct?</t>
  </si>
  <si>
    <t>Matier - 0400</t>
  </si>
  <si>
    <t>2nd Mon May; 1st Thu Nov(i)</t>
  </si>
  <si>
    <t>3rd Mon Feb; 3rd Mon Oct(i)</t>
  </si>
  <si>
    <t>Empress Britannic - 0410</t>
  </si>
  <si>
    <t>3rd Thu Mar; 2nd Mon Nov(i)</t>
  </si>
  <si>
    <t>3rd Thu Feb; 4th Mon Jun(i)</t>
  </si>
  <si>
    <t>3rd Mon Mar; 3rd Thu Nov(i)</t>
  </si>
  <si>
    <t>3rd Fri Apr(i) Apr; 2nd Tue Oct; 2nd Fri Dec</t>
  </si>
  <si>
    <t>Apr Keystone date (2nd Tue Apr) seems out of kilter with Mark. Mark summons reads, "3rd Fri in April" as does RAM</t>
  </si>
  <si>
    <t>3rd Mon Jun; 4th Mon Oct(i)</t>
  </si>
  <si>
    <t>1st Mon Mar(i); 4th Fri Oct</t>
  </si>
  <si>
    <t>3rd Mon Apr; 3rd Mon Jun; 3rd Mon Oct(i)</t>
  </si>
  <si>
    <t>2nd Wed Jan; 2nd Wed Apr(i); 2nd Wed Sep;</t>
  </si>
  <si>
    <t>If you wish to sort the data, sort from column A to N (inclusive). Do not stop at column L or you may get faulty results</t>
  </si>
  <si>
    <t xml:space="preserve">   ↓ CHANGE YEAR HERE ↓</t>
  </si>
  <si>
    <t>Mother</t>
  </si>
  <si>
    <t>RAM</t>
  </si>
  <si>
    <t>PGL RAM ANNUAL MEETING</t>
  </si>
  <si>
    <t>Hospitallers</t>
  </si>
  <si>
    <t>Thurs following 2nd Wed in Sep(i)</t>
  </si>
  <si>
    <t>3rd Thu Jul</t>
  </si>
  <si>
    <t>Matier</t>
  </si>
  <si>
    <t>Empress Britannic Lodge</t>
  </si>
  <si>
    <t>2nd Wed Sep</t>
  </si>
  <si>
    <t>Alliance</t>
  </si>
  <si>
    <t>London Installed Commanders Lodge</t>
  </si>
  <si>
    <t>2nd Tue Feb(i); 3rd Wed May; 2nd Tue Nov</t>
  </si>
  <si>
    <t>1st Fri Feb; 1st Fri Nov(i)</t>
  </si>
  <si>
    <t>2nd Sat Feb; 2nd Sat Jun; 2nd Sat Oct(i)</t>
  </si>
  <si>
    <t>3rd Mon May(i); 2nd Mon Oct</t>
  </si>
  <si>
    <t>3rd Thu Mar; 2nd Thu May(i); 2nd Thu Nov;</t>
  </si>
  <si>
    <t>Alliance - 0652</t>
  </si>
  <si>
    <t>1st Tue Mar; 4th Tue May; 1st Tue Nov(i)</t>
  </si>
  <si>
    <t>2nd Fri Mar; 3rd Fri Jun; 1st Fri Dec(i)</t>
  </si>
  <si>
    <t>3rd Tue Feb(i); 2nd Wed Jul;</t>
  </si>
  <si>
    <t>4th Wed Feb; 4th Mon Jun; 3rd Mon Sep(i)</t>
  </si>
  <si>
    <t>2nd Wed Feb(i); 1st Wed Jun</t>
  </si>
  <si>
    <t>2nd Mon Jan; 4th Tue Jun; 1st Mon Oct(i)</t>
  </si>
  <si>
    <t>4th Thu Apr(i); 4th Thu Sep; 2nd Thu Dec;</t>
  </si>
  <si>
    <t>4th Thu Jan; 3rd Thu Jun(i); 4th Thu Nov;</t>
  </si>
  <si>
    <t>3rd Wed Feb; 2nd Wed Apr(i); 2nd Wed Oct;</t>
  </si>
  <si>
    <t>4th Tue May; 3rd Mon Sep; 1st Tue Dec(i)</t>
  </si>
  <si>
    <t>4th Mon Mar; 4th Mon Sep(i)</t>
  </si>
  <si>
    <t>3rd Mon Feb; 3rd Tue Oct(i)</t>
  </si>
  <si>
    <t>4th Wed Apr(i); 3rd Wed Sep</t>
  </si>
  <si>
    <t>1st Tue Mar; 4th Tue Sep(i)</t>
  </si>
  <si>
    <t>4th Tue Feb; 1st Wed May(i); 3rd Wed Oct</t>
  </si>
  <si>
    <t>2nd Fri Mar(i); 3rd Fri Jun; 4th Fri Oct</t>
  </si>
  <si>
    <t>1st Wed Feb(i); 4th Thu Oct;</t>
  </si>
  <si>
    <t>2nd Fri Feb; 4th Tue May; 4th Wed Oct(i)</t>
  </si>
  <si>
    <t>1st Sat Jul; 1st Thu Sep(i);</t>
  </si>
  <si>
    <t>3rd Thu Jan(i); 4th Thu May; 3rd Thu Nov</t>
  </si>
  <si>
    <t>1st Mon Mar; 4th Wed May; 1st Wed Nov(i)</t>
  </si>
  <si>
    <t>2nd Thu Jun(i); 1st Thu Dec;</t>
  </si>
  <si>
    <t>4th Mon Apr; 2nd Mon Jun; 3rd Mon Oct(i)</t>
  </si>
  <si>
    <t>London Installed Commanders - 1227</t>
  </si>
  <si>
    <t>4th Mon Feb(i); Mon before 2nd Wed Sep</t>
  </si>
  <si>
    <t>2nd Thu Mar; 4th Thu May(i); 3rd Thu Oct;</t>
  </si>
  <si>
    <t>4th Tue Mar(i); 3rd Wed Oct</t>
  </si>
  <si>
    <t>2nd Thu Jan(i); 1st Mon Jul; 1st Thu Sep;</t>
  </si>
  <si>
    <t>4th Fri Jan; 4th Fri Apr; 1st Mon Dec(i)</t>
  </si>
  <si>
    <t>2nd Thu Feb(i); 1st Wed May;</t>
  </si>
  <si>
    <t>3rd Fri Mar(i); 2nd Fri Jun; 2nd Fri Sep</t>
  </si>
  <si>
    <t>1st Thu Apr; 2nd Wed Jun(i); 3rd Wed Dec;</t>
  </si>
  <si>
    <t>3rd Sat May; 3rd Sat Nov(i)</t>
  </si>
  <si>
    <t>2nd Mon Mar(i); 2nd Tue Nov</t>
  </si>
  <si>
    <t>3rd Fri Feb; 3rd Fri May(i); 3rd Fri Oct</t>
  </si>
  <si>
    <t>4th Thu Jun(i);</t>
  </si>
  <si>
    <t>1st Sat Apr; 4th Sat Jun(i); 1st Sat Dec;</t>
  </si>
  <si>
    <t>4th Tue Mar(i); 4th Tue Nov</t>
  </si>
  <si>
    <t>3rd Sat Feb(i); 3rd Sat May; 1st Sat Nov</t>
  </si>
  <si>
    <t>3rd Thu Feb(i); 3rd Thu Apr; 3rd Thu Oct</t>
  </si>
  <si>
    <t>4th Tue Feb; 4th Tue Apr(i); 4th Tue Nov;</t>
  </si>
  <si>
    <t>If you have to insert a new date of this type, copy and paste a previous one and amend it as below.</t>
  </si>
  <si>
    <t>2nd Wed Mar(i); 3rd Wed Jun; 1st Wed Sep</t>
  </si>
  <si>
    <r>
      <t xml:space="preserve"> ----------------------------------------------- </t>
    </r>
    <r>
      <rPr>
        <b/>
        <sz val="12"/>
        <color rgb="FFFF0000"/>
        <rFont val="Calibri"/>
        <family val="2"/>
      </rPr>
      <t>↓</t>
    </r>
    <r>
      <rPr>
        <b/>
        <sz val="12"/>
        <color rgb="FFFF0000"/>
        <rFont val="Calibri"/>
        <family val="2"/>
        <scheme val="minor"/>
      </rPr>
      <t xml:space="preserve"> DEFINED NAMES  - DO NOT TOUCH ↓ -------------------------------------------</t>
    </r>
  </si>
  <si>
    <t>Ordinarily, the only change required will be to change the year and Easter Friday.</t>
  </si>
  <si>
    <t>When you change the input year, all the outputs will change.</t>
  </si>
  <si>
    <t>An entry in Column N achieves what you want.</t>
  </si>
  <si>
    <r>
      <rPr>
        <sz val="12"/>
        <color rgb="FFFF0000"/>
        <rFont val="Calibri"/>
        <family val="2"/>
        <scheme val="minor"/>
      </rPr>
      <t>DO NOT</t>
    </r>
    <r>
      <rPr>
        <sz val="12"/>
        <color theme="1"/>
        <rFont val="Calibri"/>
        <family val="2"/>
        <scheme val="minor"/>
      </rPr>
      <t xml:space="preserve"> change any of the formulae in Column L. You will overwrite the formulae and we can't undo this.</t>
    </r>
  </si>
  <si>
    <t>There are 4 types of date. By far (&gt;95%) the most common is the type e.g. 1st Monday in February.</t>
  </si>
  <si>
    <t>This can be done in the 'Change Year' sheet tab.</t>
  </si>
  <si>
    <t>I have used 'defined names' to make the formulae easier to understand and edit.</t>
  </si>
  <si>
    <t>To alter a formula in the Mark or RAM spreadsheets</t>
  </si>
  <si>
    <t>Do the same for all the other Defined names you want to change.</t>
  </si>
  <si>
    <t>Note: you will have to add '+1' after the 'Year' if the meeting is after 1st Jan and before 1st Sept.</t>
  </si>
  <si>
    <r>
      <t xml:space="preserve">These are on the 'Change Year' worksheet. </t>
    </r>
    <r>
      <rPr>
        <sz val="12"/>
        <color rgb="FFFF0000"/>
        <rFont val="Calibri"/>
        <family val="2"/>
        <scheme val="minor"/>
      </rPr>
      <t>DO NOT</t>
    </r>
    <r>
      <rPr>
        <sz val="12"/>
        <color theme="1"/>
        <rFont val="Calibri"/>
        <family val="2"/>
        <scheme val="minor"/>
      </rPr>
      <t xml:space="preserve"> alter the D to K columns on this sheet.</t>
    </r>
  </si>
  <si>
    <t>In the ribbon at the top of the spreadsheet, press the 'Formulas' tab.</t>
  </si>
  <si>
    <r>
      <t>IF(N7&gt;0,N7,DATE(YEAR+1,February,1+7*</t>
    </r>
    <r>
      <rPr>
        <sz val="12"/>
        <color theme="7" tint="-0.249977111117893"/>
        <rFont val="Calibri"/>
        <family val="2"/>
        <scheme val="minor"/>
      </rPr>
      <t>_1st_weekday_occurrence</t>
    </r>
    <r>
      <rPr>
        <sz val="12"/>
        <color theme="1"/>
        <rFont val="Calibri"/>
        <family val="2"/>
        <scheme val="minor"/>
      </rPr>
      <t>)-WEEKDAY(DATE(YEAR+1,February,8-</t>
    </r>
    <r>
      <rPr>
        <sz val="12"/>
        <color theme="4"/>
        <rFont val="Calibri"/>
        <family val="2"/>
        <scheme val="minor"/>
      </rPr>
      <t>Monday</t>
    </r>
    <r>
      <rPr>
        <sz val="12"/>
        <color theme="1"/>
        <rFont val="Calibri"/>
        <family val="2"/>
        <scheme val="minor"/>
      </rPr>
      <t>)))</t>
    </r>
  </si>
  <si>
    <t xml:space="preserve">Highlight the constant (e.g. the day Monday) </t>
  </si>
  <si>
    <t>Click on this and select the constant/Defined Name you want.</t>
  </si>
  <si>
    <t>This is a Masonic Year Calendar i.e. 1st Sept 20XX to 31st Aug 20XX+1. 1st Sept to 31st Dec (incl) are Year; 1 Jan to 31 Aug (incl) are (Year+1).</t>
  </si>
  <si>
    <t>If you wish to alter any of the other types of date, please contact me.</t>
  </si>
  <si>
    <t>About halfway along this ribbon you will see 'Use in Formula'</t>
  </si>
  <si>
    <t>Note: when replacing _1st weekday_occurrence, ensure to replace the underscore at the beginning of the constant.</t>
  </si>
  <si>
    <t>Why might a date be inconsistent with the actual Lodge meeting date?</t>
  </si>
  <si>
    <t>1. Data copied incorrectly from Keystone online.</t>
  </si>
  <si>
    <t>4. Easter. See 3.</t>
  </si>
  <si>
    <t>5. Typo in formula leading to incorrect date.</t>
  </si>
  <si>
    <r>
      <t>When you approve a new meeting date for this, enter it in Column N, marked in red '</t>
    </r>
    <r>
      <rPr>
        <sz val="12"/>
        <color rgb="FFFF0000"/>
        <rFont val="Calibri"/>
        <family val="2"/>
        <scheme val="minor"/>
      </rPr>
      <t>↓if different to date on left↓</t>
    </r>
    <r>
      <rPr>
        <sz val="12"/>
        <color theme="1"/>
        <rFont val="Calibri"/>
        <family val="2"/>
        <scheme val="minor"/>
      </rPr>
      <t>'</t>
    </r>
  </si>
  <si>
    <r>
      <t>3. Lodge has applied for date to be changed as a one-off and '</t>
    </r>
    <r>
      <rPr>
        <sz val="12"/>
        <color rgb="FFFF0000"/>
        <rFont val="Calibri"/>
        <family val="2"/>
        <scheme val="minor"/>
      </rPr>
      <t>↓ if different to date on left column↓</t>
    </r>
    <r>
      <rPr>
        <sz val="12"/>
        <color theme="1"/>
        <rFont val="Calibri"/>
        <family val="2"/>
        <scheme val="minor"/>
      </rPr>
      <t>' has not been updated.</t>
    </r>
  </si>
  <si>
    <t>If a meeting falls on Good Friday or Easter Monday, it will appear in red prompting you to inform the Lodge.</t>
  </si>
  <si>
    <t>Easter Friday and Monday aside (variable Feast), Public Holidays/Prohibited Days have not been calculated as they fall on the same dates each year, so meetings wouldn't be booked anyway.</t>
  </si>
  <si>
    <t>2. Lodge has not informed GLMMM (Keystone Online) of By-Law change to dates.</t>
  </si>
  <si>
    <t>3rd Tue Feb</t>
  </si>
  <si>
    <t>4th Thu Jun</t>
  </si>
  <si>
    <t>4th Tue Apr</t>
  </si>
  <si>
    <t>Aegis</t>
  </si>
  <si>
    <t>When changing Aegis (APGM), use 'replace all . . . with . . . .'. I have used full names instead of initials to preclude possible errors here.</t>
  </si>
  <si>
    <t>Quinn</t>
  </si>
  <si>
    <t>MacAndrews</t>
  </si>
  <si>
    <t>4th Thurs May</t>
  </si>
  <si>
    <t>2nd Sat Feb(i); 2nd Sat May; 2nd Sat Oct</t>
  </si>
  <si>
    <t>Ralph Reader Lodge</t>
  </si>
  <si>
    <t>Grafton - 415</t>
  </si>
  <si>
    <t>2nd Thu Mar(i); 4th Thu Oct;</t>
  </si>
  <si>
    <t>Metropolitan RAM - 2003</t>
  </si>
  <si>
    <t>4th Tue Jun(i); 1st 5th weekday Oct</t>
  </si>
  <si>
    <t>Metropolitan Lodge of RAM</t>
  </si>
  <si>
    <t>Easter Friday 2022</t>
  </si>
  <si>
    <t>Easter Friday 2023</t>
  </si>
  <si>
    <t>Easter Friday 2024</t>
  </si>
  <si>
    <t>Easter Friday 2025</t>
  </si>
  <si>
    <t>Easter Friday 2026</t>
  </si>
  <si>
    <t>Easter Friday 2027</t>
  </si>
  <si>
    <t>Easter Friday 2028</t>
  </si>
  <si>
    <t>Easter Friday 2029</t>
  </si>
  <si>
    <t>Easter Friday 2030</t>
  </si>
  <si>
    <t>4th Tue Jun; 1st 5th weekday Oct(i)</t>
  </si>
  <si>
    <t>3rd Thurs Feb(i); 1st Fri Nov;</t>
  </si>
  <si>
    <t>Damp</t>
  </si>
  <si>
    <t>2nd Sat Jan (i); 4th Sat Apr; 2nd Sat Sep;</t>
  </si>
  <si>
    <t>1st Thu Jun; 3rd Tue Nov(i);</t>
  </si>
  <si>
    <t>3rd Tuesday Nov</t>
  </si>
  <si>
    <t>2nd Fri Sep (I), 2nd Fri Apr</t>
  </si>
  <si>
    <t>Royal Air Force - 2042</t>
  </si>
  <si>
    <t>Royal Air Force</t>
  </si>
  <si>
    <t>3rd Tues Jan; 1st Wed Jun(i);</t>
  </si>
  <si>
    <t>Scriveners Lodge - 1336</t>
  </si>
  <si>
    <t>4th Tues Feb (i); Mon before 2nd Wed Sep;</t>
  </si>
  <si>
    <t>Scriveners Lodge</t>
  </si>
  <si>
    <t>4th Tues Feb</t>
  </si>
  <si>
    <t>Locomotion 2013</t>
  </si>
  <si>
    <t>2nd Wed Feb(i); 2nd Fri Apr; Lst Weekday Oct;</t>
  </si>
  <si>
    <t>2nd Sat May(i); 3rd Fri Jun; 3rd Sat Sep;</t>
  </si>
  <si>
    <t>Stylianides</t>
  </si>
  <si>
    <t>Nunn</t>
  </si>
  <si>
    <t>Anderson</t>
  </si>
  <si>
    <t>4th Thu Jan; 1st Thurs Apr(i); 2nd Mon Oct;</t>
  </si>
  <si>
    <t>4th Thu Jan(i); 1st Thurs Apr 2nd Mon Oct;</t>
  </si>
  <si>
    <t>1st Mon Mar (i); 4th Wed Jun; 2nd Wed Dec;</t>
  </si>
  <si>
    <t>1st Mon Mar; 4th Wed Jun(i); 2nd Wed Dec;</t>
  </si>
  <si>
    <t>3rd Wed Mar(i); 4th Tues June; 3rd Tue Oct;</t>
  </si>
  <si>
    <t>3rd Wed Mar; 4th Tues June; 3rd Tue Oct(i)</t>
  </si>
  <si>
    <t>4th Tues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</si>
</sst>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1" x14ac:knownFonts="1"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mediumGray"/>
    </fill>
    <fill>
      <patternFill patternType="solid">
        <fgColor rgb="FFFFCC99"/>
      </patternFill>
    </fill>
    <fill>
      <patternFill patternType="lightTrellis"/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20" fillId="4" borderId="8" applyNumberFormat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2" fillId="3" borderId="0" xfId="0" applyFont="1" applyFill="1"/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9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0" fillId="5" borderId="0" xfId="0" applyFill="1"/>
    <xf numFmtId="0" fontId="21" fillId="2" borderId="0" xfId="1" applyFont="1" applyAlignment="1"/>
    <xf numFmtId="0" fontId="22" fillId="4" borderId="8" xfId="3" applyFont="1" applyAlignment="1"/>
    <xf numFmtId="0" fontId="22" fillId="4" borderId="8" xfId="3" applyFont="1"/>
    <xf numFmtId="0" fontId="21" fillId="2" borderId="0" xfId="1" applyFont="1" applyAlignment="1">
      <alignment vertical="center"/>
    </xf>
    <xf numFmtId="0" fontId="22" fillId="4" borderId="8" xfId="3" applyFont="1" applyAlignment="1">
      <alignment vertical="center"/>
    </xf>
    <xf numFmtId="0" fontId="23" fillId="0" borderId="0" xfId="0" applyFont="1"/>
    <xf numFmtId="0" fontId="7" fillId="0" borderId="0" xfId="2" applyFont="1" applyBorder="1" applyAlignment="1">
      <alignment vertical="center"/>
    </xf>
    <xf numFmtId="0" fontId="19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0" xfId="0" applyFont="1"/>
    <xf numFmtId="14" fontId="9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0" xfId="0" applyFont="1"/>
    <xf numFmtId="0" fontId="3" fillId="0" borderId="0" xfId="0" applyFont="1"/>
    <xf numFmtId="0" fontId="13" fillId="0" borderId="0" xfId="0" applyFont="1"/>
    <xf numFmtId="14" fontId="0" fillId="3" borderId="0" xfId="0" quotePrefix="1" applyNumberFormat="1" applyFill="1"/>
    <xf numFmtId="0" fontId="16" fillId="0" borderId="0" xfId="2" applyFont="1" applyBorder="1" applyAlignment="1">
      <alignment vertical="center"/>
    </xf>
    <xf numFmtId="164" fontId="0" fillId="3" borderId="0" xfId="0" applyNumberFormat="1" applyFill="1"/>
    <xf numFmtId="14" fontId="0" fillId="0" borderId="0" xfId="0" quotePrefix="1" applyNumberFormat="1"/>
    <xf numFmtId="0" fontId="18" fillId="0" borderId="0" xfId="0" applyFont="1"/>
    <xf numFmtId="164" fontId="18" fillId="0" borderId="0" xfId="0" applyNumberFormat="1" applyFont="1"/>
    <xf numFmtId="0" fontId="22" fillId="4" borderId="8" xfId="3" applyFont="1" applyAlignment="1">
      <alignment vertical="center" wrapText="1"/>
    </xf>
    <xf numFmtId="0" fontId="24" fillId="0" borderId="0" xfId="0" applyFont="1"/>
    <xf numFmtId="0" fontId="25" fillId="5" borderId="0" xfId="0" applyFont="1" applyFill="1"/>
    <xf numFmtId="0" fontId="26" fillId="0" borderId="0" xfId="0" applyFont="1"/>
    <xf numFmtId="0" fontId="7" fillId="0" borderId="0" xfId="2" applyFont="1" applyFill="1" applyBorder="1" applyAlignment="1">
      <alignment vertical="center"/>
    </xf>
    <xf numFmtId="0" fontId="1" fillId="2" borderId="0" xfId="1"/>
    <xf numFmtId="0" fontId="1" fillId="2" borderId="0" xfId="1" applyAlignment="1">
      <alignment vertical="center"/>
    </xf>
    <xf numFmtId="0" fontId="16" fillId="0" borderId="0" xfId="2" applyFont="1" applyFill="1" applyBorder="1" applyAlignment="1">
      <alignment vertical="center"/>
    </xf>
    <xf numFmtId="14" fontId="0" fillId="0" borderId="0" xfId="0" applyNumberFormat="1"/>
    <xf numFmtId="14" fontId="16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3" fillId="0" borderId="0" xfId="0" applyNumberFormat="1" applyFont="1"/>
    <xf numFmtId="14" fontId="18" fillId="0" borderId="0" xfId="0" applyNumberFormat="1" applyFont="1"/>
  </cellXfs>
  <cellStyles count="4">
    <cellStyle name="Good" xfId="1" builtinId="26"/>
    <cellStyle name="Hyperlink" xfId="2" builtinId="8"/>
    <cellStyle name="Input" xfId="3" builtinId="20"/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EE8B-492F-4A01-8B61-6CB1B669D005}">
  <dimension ref="A1:P516"/>
  <sheetViews>
    <sheetView tabSelected="1" workbookViewId="0">
      <pane ySplit="1" topLeftCell="A484" activePane="bottomLeft" state="frozen"/>
      <selection pane="bottomLeft" activeCell="A365" sqref="A365"/>
    </sheetView>
  </sheetViews>
  <sheetFormatPr defaultRowHeight="15.75" x14ac:dyDescent="0.25"/>
  <cols>
    <col min="2" max="2" width="8.625" bestFit="1" customWidth="1"/>
    <col min="3" max="3" width="40.875" bestFit="1" customWidth="1"/>
    <col min="4" max="4" width="9.375" style="8" bestFit="1" customWidth="1"/>
    <col min="5" max="5" width="9.625" style="8" bestFit="1" customWidth="1"/>
    <col min="6" max="6" width="40.375" bestFit="1" customWidth="1"/>
    <col min="7" max="7" width="1.125" customWidth="1"/>
    <col min="8" max="10" width="10.375" hidden="1" customWidth="1"/>
    <col min="11" max="11" width="13.75" hidden="1" customWidth="1"/>
    <col min="12" max="12" width="13.75" customWidth="1"/>
    <col min="13" max="13" width="11.25" customWidth="1"/>
    <col min="14" max="14" width="2" style="11" customWidth="1"/>
    <col min="15" max="15" width="23.375" style="5" customWidth="1"/>
    <col min="16" max="16" width="2.25" style="2" customWidth="1"/>
  </cols>
  <sheetData>
    <row r="1" spans="1:15" ht="15" customHeight="1" x14ac:dyDescent="0.25">
      <c r="A1" s="38" t="s">
        <v>226</v>
      </c>
      <c r="B1" s="1" t="s">
        <v>0</v>
      </c>
      <c r="C1" s="39" t="s">
        <v>1</v>
      </c>
      <c r="D1" s="12" t="s">
        <v>527</v>
      </c>
      <c r="E1" s="12" t="s">
        <v>224</v>
      </c>
      <c r="F1" s="39" t="s">
        <v>432</v>
      </c>
      <c r="G1" s="39"/>
      <c r="H1" s="39"/>
      <c r="I1" s="39"/>
      <c r="J1" s="39"/>
      <c r="K1" s="39"/>
      <c r="L1" s="12" t="s">
        <v>670</v>
      </c>
      <c r="M1" s="39" t="s">
        <v>431</v>
      </c>
      <c r="N1" s="2"/>
      <c r="O1" s="3" t="s">
        <v>3</v>
      </c>
    </row>
    <row r="2" spans="1:15" ht="15" customHeight="1" x14ac:dyDescent="0.25">
      <c r="B2" s="4">
        <v>1534</v>
      </c>
      <c r="C2" t="s">
        <v>159</v>
      </c>
      <c r="D2" s="8" t="s">
        <v>2</v>
      </c>
      <c r="E2" s="8" t="s">
        <v>225</v>
      </c>
      <c r="F2" s="42" t="s">
        <v>160</v>
      </c>
      <c r="G2" s="26"/>
      <c r="H2" s="26"/>
      <c r="I2" s="26"/>
      <c r="J2" s="26"/>
      <c r="K2" s="26"/>
      <c r="L2" s="51" t="s">
        <v>693</v>
      </c>
      <c r="M2" s="5">
        <f>IF(O2&gt;0,O2,DATE(YEAR,September,1+7*_1st_weekday_occurrence)-WEEKDAY(DATE(YEAR,September,8-Monday)))</f>
        <v>45537</v>
      </c>
      <c r="N2" s="41"/>
    </row>
    <row r="3" spans="1:15" ht="15" customHeight="1" x14ac:dyDescent="0.25">
      <c r="B3" s="4">
        <v>643</v>
      </c>
      <c r="C3" t="s">
        <v>115</v>
      </c>
      <c r="D3" s="8" t="s">
        <v>2</v>
      </c>
      <c r="F3" s="15" t="s">
        <v>470</v>
      </c>
      <c r="G3" s="26"/>
      <c r="H3" s="26"/>
      <c r="I3" s="26"/>
      <c r="J3" s="26"/>
      <c r="K3" s="26"/>
      <c r="L3" s="26" t="s">
        <v>672</v>
      </c>
      <c r="M3" s="5">
        <f>IF(O3&gt;0,O3,DATE(YEAR,September,1+7*_1st_weekday_occurrence)-WEEKDAY(DATE(YEAR,September,8-Wednesday)))</f>
        <v>45539</v>
      </c>
      <c r="N3" s="41"/>
    </row>
    <row r="4" spans="1:15" ht="15" customHeight="1" x14ac:dyDescent="0.25">
      <c r="B4" s="4">
        <v>835</v>
      </c>
      <c r="C4" t="s">
        <v>106</v>
      </c>
      <c r="D4" s="8" t="s">
        <v>2</v>
      </c>
      <c r="F4" s="15" t="s">
        <v>470</v>
      </c>
      <c r="G4" s="26"/>
      <c r="H4" s="26"/>
      <c r="I4" s="26"/>
      <c r="J4" s="26"/>
      <c r="K4" s="26"/>
      <c r="L4" s="26" t="s">
        <v>672</v>
      </c>
      <c r="M4" s="5">
        <f>IF(O4&gt;0,O4,DATE(YEAR,September,1+7*_1st_weekday_occurrence)-WEEKDAY(DATE(YEAR,September,8-Wednesday)))</f>
        <v>45539</v>
      </c>
      <c r="N4" s="41"/>
    </row>
    <row r="5" spans="1:15" ht="15" customHeight="1" x14ac:dyDescent="0.25">
      <c r="B5" s="4">
        <v>1152</v>
      </c>
      <c r="C5" t="s">
        <v>155</v>
      </c>
      <c r="D5" s="8" t="s">
        <v>2</v>
      </c>
      <c r="E5" s="8" t="s">
        <v>225</v>
      </c>
      <c r="F5" s="42" t="s">
        <v>156</v>
      </c>
      <c r="G5" s="26"/>
      <c r="H5" s="26"/>
      <c r="I5" s="26"/>
      <c r="J5" s="26"/>
      <c r="K5" s="26"/>
      <c r="L5" s="5" t="s">
        <v>672</v>
      </c>
      <c r="M5" s="5">
        <f>IF(O5&gt;0,O5,DATE(YEAR,September,1+7*_1st_weekday_occurrence)-WEEKDAY(DATE(YEAR,September,8-Wednesday)))</f>
        <v>45539</v>
      </c>
      <c r="N5" s="41"/>
    </row>
    <row r="6" spans="1:15" ht="15" customHeight="1" x14ac:dyDescent="0.25">
      <c r="B6" s="4">
        <v>1152</v>
      </c>
      <c r="C6" t="s">
        <v>155</v>
      </c>
      <c r="D6" s="8" t="s">
        <v>579</v>
      </c>
      <c r="F6" s="42" t="s">
        <v>156</v>
      </c>
      <c r="G6" s="26"/>
      <c r="H6" s="26"/>
      <c r="I6" s="26"/>
      <c r="J6" s="26"/>
      <c r="K6" s="26"/>
      <c r="L6" s="5" t="s">
        <v>672</v>
      </c>
      <c r="M6" s="55">
        <f>IF(O6&gt;0,O6,DATE(YEAR,September,1+7*_1st_weekday_occurrence)-WEEKDAY(DATE(YEAR,September,8-Wednesday)))</f>
        <v>45539</v>
      </c>
      <c r="N6" s="41"/>
    </row>
    <row r="7" spans="1:15" ht="15" customHeight="1" x14ac:dyDescent="0.25">
      <c r="B7" s="4">
        <v>1105</v>
      </c>
      <c r="C7" t="s">
        <v>119</v>
      </c>
      <c r="D7" s="8" t="s">
        <v>2</v>
      </c>
      <c r="F7" s="14" t="s">
        <v>489</v>
      </c>
      <c r="G7" s="26"/>
      <c r="H7" s="26"/>
      <c r="I7" s="26"/>
      <c r="J7" s="26"/>
      <c r="K7" s="26"/>
      <c r="L7" s="42" t="s">
        <v>709</v>
      </c>
      <c r="M7" s="5">
        <f>IF(O7&gt;0,O7,DATE(YEAR,September,1+7*_1st_weekday_occurrence)-WEEKDAY(DATE(YEAR,September,8-Thursday)))</f>
        <v>45540</v>
      </c>
      <c r="N7" s="41"/>
    </row>
    <row r="8" spans="1:15" ht="15" customHeight="1" x14ac:dyDescent="0.25">
      <c r="B8" s="4">
        <v>1105</v>
      </c>
      <c r="C8" t="s">
        <v>119</v>
      </c>
      <c r="D8" s="8" t="s">
        <v>579</v>
      </c>
      <c r="E8" s="8" t="s">
        <v>225</v>
      </c>
      <c r="F8" s="14" t="s">
        <v>489</v>
      </c>
      <c r="G8" s="26"/>
      <c r="H8" s="26"/>
      <c r="I8" s="26"/>
      <c r="J8" s="26"/>
      <c r="K8" s="26"/>
      <c r="L8" s="42" t="s">
        <v>709</v>
      </c>
      <c r="M8" s="55">
        <f>IF(O8&gt;0,O8,DATE(YEAR,September,1+7*_1st_weekday_occurrence)-WEEKDAY(DATE(YEAR,September,8-Thursday)))</f>
        <v>45540</v>
      </c>
      <c r="N8" s="41"/>
    </row>
    <row r="9" spans="1:15" ht="15" customHeight="1" x14ac:dyDescent="0.25">
      <c r="B9" s="4">
        <v>1313</v>
      </c>
      <c r="C9" t="s">
        <v>152</v>
      </c>
      <c r="D9" s="8" t="s">
        <v>2</v>
      </c>
      <c r="F9" s="14" t="s">
        <v>489</v>
      </c>
      <c r="G9" s="26"/>
      <c r="H9" s="26"/>
      <c r="I9" s="26"/>
      <c r="J9" s="26"/>
      <c r="K9" s="26"/>
      <c r="L9" s="26" t="s">
        <v>672</v>
      </c>
      <c r="M9" s="5">
        <f>IF(O9&gt;0,O9,DATE(YEAR,September,1+7*_1st_weekday_occurrence)-WEEKDAY(DATE(YEAR,September,8-Thursday)))</f>
        <v>45540</v>
      </c>
      <c r="N9" s="41"/>
    </row>
    <row r="10" spans="1:15" ht="15" customHeight="1" x14ac:dyDescent="0.25">
      <c r="B10" s="4">
        <v>1313</v>
      </c>
      <c r="C10" t="s">
        <v>152</v>
      </c>
      <c r="D10" s="8" t="s">
        <v>579</v>
      </c>
      <c r="F10" s="14" t="s">
        <v>489</v>
      </c>
      <c r="G10" s="26"/>
      <c r="H10" s="26"/>
      <c r="I10" s="26"/>
      <c r="J10" s="26"/>
      <c r="K10" s="26"/>
      <c r="L10" s="26" t="s">
        <v>672</v>
      </c>
      <c r="M10" s="55">
        <f>IF(O10&gt;0,O10,DATE(YEAR,September,1+7*_1st_weekday_occurrence)-WEEKDAY(DATE(YEAR,September,8-Thursday)))</f>
        <v>45540</v>
      </c>
      <c r="N10" s="41"/>
    </row>
    <row r="11" spans="1:15" ht="15" customHeight="1" x14ac:dyDescent="0.25">
      <c r="B11" s="4">
        <v>815</v>
      </c>
      <c r="C11" t="s">
        <v>80</v>
      </c>
      <c r="D11" s="8" t="s">
        <v>2</v>
      </c>
      <c r="F11" s="15" t="s">
        <v>478</v>
      </c>
      <c r="G11" s="26"/>
      <c r="H11" s="26"/>
      <c r="I11" s="26"/>
      <c r="J11" s="26"/>
      <c r="K11" s="26"/>
      <c r="L11" s="26" t="s">
        <v>673</v>
      </c>
      <c r="M11" s="5">
        <f>IF(O11&gt;0,O11,DATE(YEAR,September,1+7*_2nd_weekday_occurrence)-WEEKDAY(DATE(YEAR,September,8-Monday)))</f>
        <v>45544</v>
      </c>
      <c r="N11" s="41"/>
    </row>
    <row r="12" spans="1:15" ht="15" customHeight="1" x14ac:dyDescent="0.25">
      <c r="B12" s="4">
        <v>1227</v>
      </c>
      <c r="C12" t="s">
        <v>157</v>
      </c>
      <c r="D12" s="8" t="s">
        <v>2</v>
      </c>
      <c r="E12" s="8" t="s">
        <v>225</v>
      </c>
      <c r="F12" t="s">
        <v>158</v>
      </c>
      <c r="L12" s="26" t="s">
        <v>672</v>
      </c>
      <c r="M12" s="5">
        <f>IF(O12&gt;0,O12,DATE(YEAR,September,1-2+7*_2nd_weekday_occurrence)-WEEKDAY(DATE(YEAR,September,8-Wednesday)))</f>
        <v>45544</v>
      </c>
      <c r="N12" s="41"/>
    </row>
    <row r="13" spans="1:15" ht="15" customHeight="1" x14ac:dyDescent="0.25">
      <c r="B13" s="4">
        <v>1227</v>
      </c>
      <c r="C13" t="s">
        <v>588</v>
      </c>
      <c r="D13" s="8" t="s">
        <v>579</v>
      </c>
      <c r="F13" t="s">
        <v>158</v>
      </c>
      <c r="L13" s="26" t="s">
        <v>672</v>
      </c>
      <c r="M13" s="55">
        <f>IF(O13&gt;0,O13,DATE(YEAR,September,1-2+7*_2nd_weekday_occurrence)-WEEKDAY(DATE(YEAR,September,8-Wednesday)))</f>
        <v>45544</v>
      </c>
      <c r="N13" s="41"/>
    </row>
    <row r="14" spans="1:15" ht="15" customHeight="1" x14ac:dyDescent="0.25">
      <c r="B14" s="4">
        <v>1336</v>
      </c>
      <c r="C14" t="s">
        <v>703</v>
      </c>
      <c r="D14" s="8" t="s">
        <v>2</v>
      </c>
      <c r="F14" s="15" t="s">
        <v>158</v>
      </c>
      <c r="L14" t="s">
        <v>708</v>
      </c>
      <c r="M14" s="55">
        <f>IF(O14&gt;0,O14,DATE(YEAR,September,1-2+7*_2nd_weekday_occurrence)-WEEKDAY(DATE(YEAR,September,8-Wednesday)))</f>
        <v>45544</v>
      </c>
    </row>
    <row r="15" spans="1:15" ht="15" customHeight="1" x14ac:dyDescent="0.25">
      <c r="B15" s="4" t="s">
        <v>525</v>
      </c>
      <c r="C15" s="45" t="s">
        <v>580</v>
      </c>
      <c r="D15" s="8" t="s">
        <v>579</v>
      </c>
      <c r="F15" t="s">
        <v>158</v>
      </c>
      <c r="L15" t="s">
        <v>672</v>
      </c>
      <c r="M15" s="60">
        <f>IF(O12&gt;0,O12,DATE(YEAR,September,1-2+7*_2nd_weekday_occurrence)-WEEKDAY(DATE(YEAR,September,8-Wednesday)))</f>
        <v>45544</v>
      </c>
    </row>
    <row r="16" spans="1:15" ht="15" customHeight="1" x14ac:dyDescent="0.25">
      <c r="B16" s="4">
        <v>487</v>
      </c>
      <c r="C16" t="s">
        <v>46</v>
      </c>
      <c r="D16" s="8" t="s">
        <v>579</v>
      </c>
      <c r="F16" s="15" t="s">
        <v>586</v>
      </c>
      <c r="G16" s="26"/>
      <c r="H16" s="26"/>
      <c r="I16" s="26"/>
      <c r="J16" s="26"/>
      <c r="K16" s="26"/>
      <c r="L16" s="5" t="s">
        <v>710</v>
      </c>
      <c r="M16" s="55">
        <f>IF(O16&gt;0,O16,DATE(YEAR,September,1+7*_2nd_weekday_occurrence)-WEEKDAY(DATE(YEAR,September,8-Wednesday)))</f>
        <v>45546</v>
      </c>
      <c r="N16" s="41"/>
    </row>
    <row r="17" spans="2:14" ht="15" customHeight="1" x14ac:dyDescent="0.25">
      <c r="B17" s="4">
        <v>238</v>
      </c>
      <c r="C17" t="s">
        <v>146</v>
      </c>
      <c r="D17" s="8" t="s">
        <v>2</v>
      </c>
      <c r="F17" s="15" t="s">
        <v>451</v>
      </c>
      <c r="G17" s="26"/>
      <c r="H17" s="26"/>
      <c r="I17" s="26"/>
      <c r="J17" s="26"/>
      <c r="K17" s="26"/>
      <c r="L17" t="s">
        <v>708</v>
      </c>
      <c r="M17" s="44">
        <f>IF(O17&gt;0,O17,DATE(YEAR,September,1+7*_2nd_weekday_occurrence)-WEEKDAY(DATE(YEAR,September,8-Thursday)))</f>
        <v>45547</v>
      </c>
      <c r="N17" s="41"/>
    </row>
    <row r="18" spans="2:14" ht="15" customHeight="1" x14ac:dyDescent="0.25">
      <c r="B18" s="4">
        <v>238</v>
      </c>
      <c r="C18" t="s">
        <v>146</v>
      </c>
      <c r="D18" s="8" t="s">
        <v>579</v>
      </c>
      <c r="E18" s="8" t="s">
        <v>225</v>
      </c>
      <c r="F18" s="15" t="s">
        <v>451</v>
      </c>
      <c r="G18" s="26"/>
      <c r="H18" s="26"/>
      <c r="I18" s="26"/>
      <c r="J18" s="26"/>
      <c r="K18" s="26"/>
      <c r="L18" t="s">
        <v>708</v>
      </c>
      <c r="M18" s="44">
        <f>IF(O18&gt;0,O18,DATE(YEAR,September,1+7*_2nd_weekday_occurrence)-WEEKDAY(DATE(YEAR,September,8-Thursday)))</f>
        <v>45547</v>
      </c>
      <c r="N18" s="41"/>
    </row>
    <row r="19" spans="2:14" ht="15" customHeight="1" x14ac:dyDescent="0.25">
      <c r="B19" s="4">
        <v>363</v>
      </c>
      <c r="C19" t="s">
        <v>133</v>
      </c>
      <c r="D19" s="8" t="s">
        <v>579</v>
      </c>
      <c r="E19" s="8" t="s">
        <v>225</v>
      </c>
      <c r="F19" t="s">
        <v>582</v>
      </c>
      <c r="L19" s="26" t="s">
        <v>672</v>
      </c>
      <c r="M19" s="44">
        <f>IF(O19&gt;0,O19,DATE(YEAR,September,1+1+7*_2nd_weekday_occurrence)-WEEKDAY(DATE(YEAR,September,8-Wednesday)))</f>
        <v>45547</v>
      </c>
      <c r="N19" s="41"/>
    </row>
    <row r="20" spans="2:14" ht="15" customHeight="1" x14ac:dyDescent="0.25">
      <c r="B20" s="4">
        <v>1457</v>
      </c>
      <c r="C20" t="s">
        <v>161</v>
      </c>
      <c r="D20" s="8" t="s">
        <v>2</v>
      </c>
      <c r="E20" s="8" t="s">
        <v>225</v>
      </c>
      <c r="F20" s="42" t="s">
        <v>162</v>
      </c>
      <c r="G20" s="26"/>
      <c r="H20" s="26"/>
      <c r="I20" s="26"/>
      <c r="J20" s="26"/>
      <c r="K20" s="26"/>
      <c r="L20" t="s">
        <v>693</v>
      </c>
      <c r="M20" s="5">
        <f>IF(O20&gt;0,O20,DATE(YEAR,September,1+7*_2nd_weekday_occurrence)-WEEKDAY(DATE(YEAR,September,8-Friday)))</f>
        <v>45548</v>
      </c>
      <c r="N20" s="41"/>
    </row>
    <row r="21" spans="2:14" ht="15" customHeight="1" x14ac:dyDescent="0.25">
      <c r="B21" s="4">
        <v>1457</v>
      </c>
      <c r="C21" t="s">
        <v>161</v>
      </c>
      <c r="D21" s="8" t="s">
        <v>579</v>
      </c>
      <c r="F21" s="42" t="s">
        <v>162</v>
      </c>
      <c r="G21" s="26"/>
      <c r="H21" s="26"/>
      <c r="I21" s="26"/>
      <c r="J21" s="26"/>
      <c r="K21" s="26"/>
      <c r="L21" t="s">
        <v>693</v>
      </c>
      <c r="M21" s="55">
        <f>IF(O21&gt;0,O21,DATE(YEAR,September,1+7*_2nd_weekday_occurrence)-WEEKDAY(DATE(YEAR,September,8-Friday)))</f>
        <v>45548</v>
      </c>
      <c r="N21" s="41"/>
    </row>
    <row r="22" spans="2:14" ht="15" customHeight="1" x14ac:dyDescent="0.25">
      <c r="B22" s="4">
        <v>2042</v>
      </c>
      <c r="C22" t="s">
        <v>699</v>
      </c>
      <c r="D22" s="8" t="s">
        <v>2</v>
      </c>
      <c r="E22" s="8" t="s">
        <v>225</v>
      </c>
      <c r="F22" s="15" t="s">
        <v>162</v>
      </c>
      <c r="L22" s="51" t="s">
        <v>708</v>
      </c>
      <c r="M22" s="5">
        <f>IF(O22&gt;0,O22,DATE(YEAR,September,1+7*_2nd_weekday_occurrence)-WEEKDAY(DATE(YEAR,September,8-Friday)))</f>
        <v>45548</v>
      </c>
    </row>
    <row r="23" spans="2:14" ht="15" customHeight="1" x14ac:dyDescent="0.25">
      <c r="B23" s="4">
        <v>2022</v>
      </c>
      <c r="C23" t="s">
        <v>163</v>
      </c>
      <c r="D23" s="8" t="s">
        <v>2</v>
      </c>
      <c r="E23" s="8" t="s">
        <v>225</v>
      </c>
      <c r="F23" s="42" t="s">
        <v>164</v>
      </c>
      <c r="G23" s="26"/>
      <c r="H23" s="26"/>
      <c r="I23" s="26"/>
      <c r="J23" s="26"/>
      <c r="K23" s="26"/>
      <c r="L23" s="5" t="s">
        <v>710</v>
      </c>
      <c r="M23" s="5">
        <f>IF(O23&gt;0,O23,DATE(YEAR,September,1+7*_2nd_weekday_occurrence)-WEEKDAY(DATE(YEAR,September,8-Saturday)))</f>
        <v>45549</v>
      </c>
    </row>
    <row r="24" spans="2:14" ht="15" customHeight="1" x14ac:dyDescent="0.25">
      <c r="B24" s="4">
        <v>2022</v>
      </c>
      <c r="C24" t="s">
        <v>163</v>
      </c>
      <c r="D24" s="8" t="s">
        <v>579</v>
      </c>
      <c r="F24" s="42" t="s">
        <v>164</v>
      </c>
      <c r="G24" s="26"/>
      <c r="H24" s="26"/>
      <c r="I24" s="26"/>
      <c r="J24" s="26"/>
      <c r="K24" s="26"/>
      <c r="L24" s="5" t="s">
        <v>710</v>
      </c>
      <c r="M24" s="55">
        <f>IF(O24&gt;0,O24,DATE(YEAR,September,1+7*_2nd_weekday_occurrence)-WEEKDAY(DATE(YEAR,September,8-Saturday)))</f>
        <v>45549</v>
      </c>
    </row>
    <row r="25" spans="2:14" ht="15" customHeight="1" x14ac:dyDescent="0.25">
      <c r="B25" s="4">
        <v>786</v>
      </c>
      <c r="C25" t="s">
        <v>142</v>
      </c>
      <c r="D25" s="8" t="s">
        <v>2</v>
      </c>
      <c r="F25" s="14" t="s">
        <v>168</v>
      </c>
      <c r="G25" s="26"/>
      <c r="H25" s="26"/>
      <c r="I25" s="26"/>
      <c r="J25" s="26"/>
      <c r="K25" s="26"/>
      <c r="L25" t="s">
        <v>693</v>
      </c>
      <c r="M25" s="5">
        <f>IF(O25&gt;0,O25,DATE(YEAR,September,1+7*_3rd_weekday_occurrence)-WEEKDAY(DATE(YEAR,September,8-Monday)))</f>
        <v>45551</v>
      </c>
      <c r="N25" s="41"/>
    </row>
    <row r="26" spans="2:14" ht="15" customHeight="1" x14ac:dyDescent="0.25">
      <c r="B26" s="4">
        <v>786</v>
      </c>
      <c r="C26" t="s">
        <v>142</v>
      </c>
      <c r="D26" s="8" t="s">
        <v>579</v>
      </c>
      <c r="E26" s="8" t="s">
        <v>225</v>
      </c>
      <c r="F26" s="14" t="s">
        <v>168</v>
      </c>
      <c r="G26" s="26"/>
      <c r="H26" s="26"/>
      <c r="I26" s="26"/>
      <c r="J26" s="26"/>
      <c r="K26" s="26"/>
      <c r="L26" t="s">
        <v>693</v>
      </c>
      <c r="M26" s="55">
        <f>IF(O26&gt;0,O26,DATE(YEAR,September,1+7*_3rd_weekday_occurrence)-WEEKDAY(DATE(YEAR,September,8-Monday)))</f>
        <v>45551</v>
      </c>
      <c r="N26" s="41"/>
    </row>
    <row r="27" spans="2:14" ht="15" customHeight="1" x14ac:dyDescent="0.25">
      <c r="B27" s="4">
        <v>897</v>
      </c>
      <c r="C27" t="s">
        <v>167</v>
      </c>
      <c r="D27" s="8" t="s">
        <v>2</v>
      </c>
      <c r="E27" s="8" t="s">
        <v>225</v>
      </c>
      <c r="F27" s="42" t="s">
        <v>168</v>
      </c>
      <c r="G27" s="26"/>
      <c r="H27" s="26"/>
      <c r="I27" s="26"/>
      <c r="J27" s="26"/>
      <c r="K27" s="26"/>
      <c r="L27" s="5" t="s">
        <v>710</v>
      </c>
      <c r="M27" s="5">
        <f>IF(O27&gt;0,O27,DATE(YEAR,September,1+7*_3rd_weekday_occurrence)-WEEKDAY(DATE(YEAR,September,8-Monday)))</f>
        <v>45551</v>
      </c>
      <c r="N27" s="41"/>
    </row>
    <row r="28" spans="2:14" ht="15" customHeight="1" x14ac:dyDescent="0.25">
      <c r="B28" s="4">
        <v>897</v>
      </c>
      <c r="C28" t="s">
        <v>167</v>
      </c>
      <c r="D28" s="8" t="s">
        <v>579</v>
      </c>
      <c r="F28" s="42" t="s">
        <v>168</v>
      </c>
      <c r="G28" s="26"/>
      <c r="H28" s="26"/>
      <c r="I28" s="26"/>
      <c r="J28" s="26"/>
      <c r="K28" s="26"/>
      <c r="L28" s="5" t="s">
        <v>710</v>
      </c>
      <c r="M28" s="55">
        <f>IF(O28&gt;0,O28,DATE(YEAR,September,1+7*_3rd_weekday_occurrence)-WEEKDAY(DATE(YEAR,September,8-Monday)))</f>
        <v>45551</v>
      </c>
      <c r="N28" s="41"/>
    </row>
    <row r="29" spans="2:14" ht="15" customHeight="1" x14ac:dyDescent="0.25">
      <c r="B29" s="4">
        <v>936</v>
      </c>
      <c r="C29" t="s">
        <v>165</v>
      </c>
      <c r="D29" s="8" t="s">
        <v>2</v>
      </c>
      <c r="E29" s="8" t="s">
        <v>225</v>
      </c>
      <c r="F29" s="42" t="s">
        <v>166</v>
      </c>
      <c r="G29" s="26"/>
      <c r="H29" s="26"/>
      <c r="I29" s="26"/>
      <c r="J29" s="26"/>
      <c r="K29" s="26"/>
      <c r="L29" t="s">
        <v>693</v>
      </c>
      <c r="M29" s="5">
        <f>IF(O29&gt;0,O29,DATE(YEAR,September,1+7*_3rd_weekday_occurrence)-WEEKDAY(DATE(YEAR,September,8-Wednesday)))</f>
        <v>45553</v>
      </c>
      <c r="N29" s="41"/>
    </row>
    <row r="30" spans="2:14" ht="15" customHeight="1" x14ac:dyDescent="0.25">
      <c r="B30" s="4">
        <v>936</v>
      </c>
      <c r="C30" t="s">
        <v>165</v>
      </c>
      <c r="D30" s="8" t="s">
        <v>579</v>
      </c>
      <c r="F30" s="42" t="s">
        <v>166</v>
      </c>
      <c r="G30" s="26"/>
      <c r="H30" s="26"/>
      <c r="I30" s="26"/>
      <c r="J30" s="26"/>
      <c r="K30" s="26"/>
      <c r="L30" t="s">
        <v>693</v>
      </c>
      <c r="M30" s="55">
        <f>IF(O30&gt;0,O30,DATE(YEAR,September,1+7*_3rd_weekday_occurrence)-WEEKDAY(DATE(YEAR,September,8-Wednesday)))</f>
        <v>45553</v>
      </c>
      <c r="N30" s="41"/>
    </row>
    <row r="31" spans="2:14" ht="15" customHeight="1" x14ac:dyDescent="0.25">
      <c r="B31" s="4">
        <v>1989</v>
      </c>
      <c r="C31" t="s">
        <v>113</v>
      </c>
      <c r="D31" s="8" t="s">
        <v>2</v>
      </c>
      <c r="F31" s="15" t="s">
        <v>516</v>
      </c>
      <c r="G31" s="26"/>
      <c r="H31" s="26"/>
      <c r="I31" s="26"/>
      <c r="J31" s="26"/>
      <c r="K31" s="26"/>
      <c r="L31" t="s">
        <v>693</v>
      </c>
      <c r="M31" s="5">
        <f>IF(O31&gt;0,O31,DATE(YEAR,September,1+7*_3rd_weekday_occurrence)-WEEKDAY(DATE(YEAR,September,8-Saturday)))</f>
        <v>45556</v>
      </c>
      <c r="N31" s="41"/>
    </row>
    <row r="32" spans="2:14" ht="15" customHeight="1" x14ac:dyDescent="0.25">
      <c r="B32" s="4">
        <v>1989</v>
      </c>
      <c r="C32" t="s">
        <v>113</v>
      </c>
      <c r="D32" s="8" t="s">
        <v>579</v>
      </c>
      <c r="F32" s="42" t="s">
        <v>516</v>
      </c>
      <c r="G32" s="26"/>
      <c r="H32" s="26"/>
      <c r="I32" s="26"/>
      <c r="J32" s="26"/>
      <c r="K32" s="26"/>
      <c r="L32" s="51" t="s">
        <v>693</v>
      </c>
      <c r="M32" s="55">
        <f>IF(O32&gt;0,O32,DATE(YEAR,September,1+7*_3rd_weekday_occurrence)-WEEKDAY(DATE(YEAR,September,8-Saturday)))</f>
        <v>45556</v>
      </c>
    </row>
    <row r="33" spans="2:14" ht="15" customHeight="1" x14ac:dyDescent="0.25">
      <c r="B33" s="4">
        <v>921</v>
      </c>
      <c r="C33" t="s">
        <v>95</v>
      </c>
      <c r="D33" s="8" t="s">
        <v>2</v>
      </c>
      <c r="F33" s="15" t="s">
        <v>482</v>
      </c>
      <c r="G33" s="26"/>
      <c r="H33" s="26"/>
      <c r="I33" s="26"/>
      <c r="J33" s="26"/>
      <c r="K33" s="26"/>
      <c r="L33" t="s">
        <v>693</v>
      </c>
      <c r="M33" s="5">
        <f>IF(O33&gt;0,O33,DATE(YEAR,September,1+7*_4th_weekday_occurrence)-WEEKDAY(DATE(YEAR,September,8-Monday)))</f>
        <v>45558</v>
      </c>
      <c r="N33" s="41"/>
    </row>
    <row r="34" spans="2:14" ht="15" customHeight="1" x14ac:dyDescent="0.25">
      <c r="B34" s="4">
        <v>921</v>
      </c>
      <c r="C34" t="s">
        <v>95</v>
      </c>
      <c r="D34" s="8" t="s">
        <v>579</v>
      </c>
      <c r="E34" s="8" t="s">
        <v>225</v>
      </c>
      <c r="F34" s="15" t="s">
        <v>482</v>
      </c>
      <c r="G34" s="26"/>
      <c r="H34" s="26"/>
      <c r="I34" s="26"/>
      <c r="J34" s="26"/>
      <c r="K34" s="26"/>
      <c r="L34" t="s">
        <v>693</v>
      </c>
      <c r="M34" s="55">
        <f>IF(O34&gt;0,O34,DATE(YEAR,September,1+7*_4th_weekday_occurrence)-WEEKDAY(DATE(YEAR,September,8-Monday)))</f>
        <v>45558</v>
      </c>
      <c r="N34" s="41"/>
    </row>
    <row r="35" spans="2:14" ht="15" customHeight="1" x14ac:dyDescent="0.25">
      <c r="B35" s="4">
        <v>976</v>
      </c>
      <c r="C35" t="s">
        <v>76</v>
      </c>
      <c r="D35" s="8" t="s">
        <v>2</v>
      </c>
      <c r="F35" s="14" t="s">
        <v>483</v>
      </c>
      <c r="G35" s="26"/>
      <c r="H35" s="26"/>
      <c r="I35" s="26"/>
      <c r="J35" s="26"/>
      <c r="K35" s="26"/>
      <c r="L35" s="5" t="s">
        <v>693</v>
      </c>
      <c r="M35" s="5">
        <f>IF(O35&gt;0,O35,DATE(YEAR,September,1+7*_4th_weekday_occurrence)-WEEKDAY(DATE(YEAR,September,8-Tuesday)))</f>
        <v>45559</v>
      </c>
      <c r="N35" s="41"/>
    </row>
    <row r="36" spans="2:14" ht="15" customHeight="1" x14ac:dyDescent="0.25">
      <c r="B36" s="4">
        <v>976</v>
      </c>
      <c r="C36" t="s">
        <v>76</v>
      </c>
      <c r="D36" s="8" t="s">
        <v>579</v>
      </c>
      <c r="E36" s="8" t="s">
        <v>225</v>
      </c>
      <c r="F36" s="14" t="s">
        <v>483</v>
      </c>
      <c r="G36" s="26"/>
      <c r="H36" s="26"/>
      <c r="I36" s="26"/>
      <c r="J36" s="26"/>
      <c r="K36" s="26"/>
      <c r="L36" s="5" t="s">
        <v>693</v>
      </c>
      <c r="M36" s="55">
        <f>IF(O36&gt;0,O36,DATE(YEAR,September,1+7*_4th_weekday_occurrence)-WEEKDAY(DATE(YEAR,September,8-Tuesday)))</f>
        <v>45559</v>
      </c>
      <c r="N36" s="41"/>
    </row>
    <row r="37" spans="2:14" ht="15" customHeight="1" x14ac:dyDescent="0.25">
      <c r="B37" s="4">
        <v>802</v>
      </c>
      <c r="C37" t="s">
        <v>169</v>
      </c>
      <c r="D37" s="8" t="s">
        <v>2</v>
      </c>
      <c r="E37" s="8" t="s">
        <v>225</v>
      </c>
      <c r="F37" s="42" t="s">
        <v>170</v>
      </c>
      <c r="G37" s="26"/>
      <c r="H37" s="26"/>
      <c r="I37" s="26"/>
      <c r="J37" s="26"/>
      <c r="K37" s="26"/>
      <c r="L37" s="42" t="s">
        <v>709</v>
      </c>
      <c r="M37" s="5">
        <f>IF(O37&gt;0,O37,DATE(YEAR,September,1+7*_4th_weekday_occurrence)-WEEKDAY(DATE(YEAR,September,8-Thursday)))</f>
        <v>45561</v>
      </c>
      <c r="N37" s="41"/>
    </row>
    <row r="38" spans="2:14" ht="15" customHeight="1" x14ac:dyDescent="0.25">
      <c r="B38" s="4">
        <v>802</v>
      </c>
      <c r="C38" t="s">
        <v>169</v>
      </c>
      <c r="D38" s="8" t="s">
        <v>579</v>
      </c>
      <c r="F38" s="42" t="s">
        <v>170</v>
      </c>
      <c r="G38" s="26"/>
      <c r="H38" s="26"/>
      <c r="I38" s="26"/>
      <c r="J38" s="26"/>
      <c r="K38" s="26"/>
      <c r="L38" s="42" t="s">
        <v>709</v>
      </c>
      <c r="M38" s="55">
        <f>IF(O38&gt;0,O38,DATE(YEAR,September,1+7*_4th_weekday_occurrence)-WEEKDAY(DATE(YEAR,September,8-Thursday)))</f>
        <v>45561</v>
      </c>
      <c r="N38" s="41"/>
    </row>
    <row r="39" spans="2:14" ht="15" customHeight="1" x14ac:dyDescent="0.25">
      <c r="B39" s="4">
        <v>0</v>
      </c>
      <c r="C39" t="s">
        <v>222</v>
      </c>
      <c r="D39" s="8" t="s">
        <v>2</v>
      </c>
      <c r="E39"/>
      <c r="F39" s="40" t="s">
        <v>524</v>
      </c>
      <c r="L39" t="s">
        <v>672</v>
      </c>
      <c r="M39" s="5">
        <f>IF(O39&gt;0,O39,DATE(YEAR,October,1+7*_1st_weekday_occurrence)-WEEKDAY(DATE(YEAR,October,8-Tuesday)))</f>
        <v>45566</v>
      </c>
      <c r="N39" s="41"/>
    </row>
    <row r="40" spans="2:14" ht="15" customHeight="1" x14ac:dyDescent="0.25">
      <c r="B40" s="4">
        <v>487</v>
      </c>
      <c r="C40" t="s">
        <v>46</v>
      </c>
      <c r="D40" s="8" t="s">
        <v>2</v>
      </c>
      <c r="F40" s="15" t="s">
        <v>464</v>
      </c>
      <c r="G40" s="26"/>
      <c r="H40" s="26"/>
      <c r="I40" s="26"/>
      <c r="J40" s="26"/>
      <c r="K40" s="26"/>
      <c r="L40" t="s">
        <v>710</v>
      </c>
      <c r="M40" s="5">
        <f>IF(O40&gt;0,O40,DATE(YEAR,October,1+7*_1st_weekday_occurrence)-WEEKDAY(DATE(YEAR,October,8-Tuesday)))</f>
        <v>45566</v>
      </c>
      <c r="N40" s="41"/>
    </row>
    <row r="41" spans="2:14" ht="15" customHeight="1" x14ac:dyDescent="0.25">
      <c r="B41" s="4">
        <v>1071</v>
      </c>
      <c r="C41" t="s">
        <v>141</v>
      </c>
      <c r="D41" s="8" t="s">
        <v>2</v>
      </c>
      <c r="F41" s="15" t="s">
        <v>486</v>
      </c>
      <c r="G41" s="26"/>
      <c r="H41" s="26"/>
      <c r="I41" s="26"/>
      <c r="J41" s="26"/>
      <c r="K41" s="26"/>
      <c r="L41" t="s">
        <v>710</v>
      </c>
      <c r="M41" s="5">
        <f>IF(O41&gt;0,O41,DATE(YEAR,October,1+7*_1st_weekday_occurrence)-WEEKDAY(DATE(YEAR,October,8-Wednesday)))</f>
        <v>45567</v>
      </c>
      <c r="N41" s="41"/>
    </row>
    <row r="42" spans="2:14" ht="15" customHeight="1" x14ac:dyDescent="0.25">
      <c r="B42" s="4">
        <v>1071</v>
      </c>
      <c r="C42" t="s">
        <v>141</v>
      </c>
      <c r="D42" s="8" t="s">
        <v>579</v>
      </c>
      <c r="F42" s="15" t="s">
        <v>486</v>
      </c>
      <c r="G42" s="26"/>
      <c r="H42" s="26"/>
      <c r="I42" s="26"/>
      <c r="J42" s="26"/>
      <c r="K42" s="26"/>
      <c r="L42" t="s">
        <v>710</v>
      </c>
      <c r="M42" s="55">
        <f>IF(O42&gt;0,O42,DATE(YEAR,October,1+7*_1st_weekday_occurrence)-WEEKDAY(DATE(YEAR,October,8-Wednesday)))</f>
        <v>45567</v>
      </c>
      <c r="N42" s="41"/>
    </row>
    <row r="43" spans="2:14" ht="15" customHeight="1" x14ac:dyDescent="0.25">
      <c r="B43" s="4">
        <v>1767</v>
      </c>
      <c r="C43" t="s">
        <v>171</v>
      </c>
      <c r="D43" s="8" t="s">
        <v>2</v>
      </c>
      <c r="E43" s="8" t="s">
        <v>225</v>
      </c>
      <c r="F43" s="42" t="s">
        <v>172</v>
      </c>
      <c r="G43" s="26"/>
      <c r="H43" s="26"/>
      <c r="I43" s="26"/>
      <c r="J43" s="26"/>
      <c r="K43" s="26"/>
      <c r="L43" s="42" t="s">
        <v>709</v>
      </c>
      <c r="M43" s="5">
        <f>IF(O43&gt;0,O43,DATE(YEAR,October,1+7*_1st_weekday_occurrence)-WEEKDAY(DATE(YEAR,October,8-Thursday)))</f>
        <v>45568</v>
      </c>
      <c r="N43" s="41"/>
    </row>
    <row r="44" spans="2:14" ht="15" customHeight="1" x14ac:dyDescent="0.25">
      <c r="B44" s="4">
        <v>801</v>
      </c>
      <c r="C44" t="s">
        <v>6</v>
      </c>
      <c r="D44" s="8" t="s">
        <v>2</v>
      </c>
      <c r="F44" s="15" t="s">
        <v>174</v>
      </c>
      <c r="G44" s="26"/>
      <c r="H44" s="26"/>
      <c r="I44" s="26"/>
      <c r="J44" s="26"/>
      <c r="K44" s="26"/>
      <c r="L44" s="42" t="s">
        <v>708</v>
      </c>
      <c r="M44" s="5">
        <f>IF(O44&gt;0,O44,DATE(YEAR,October,1+7*_1st_weekday_occurrence)-WEEKDAY(DATE(YEAR,October,8-Monday)))</f>
        <v>45572</v>
      </c>
      <c r="N44" s="41"/>
    </row>
    <row r="45" spans="2:14" ht="15" customHeight="1" x14ac:dyDescent="0.25">
      <c r="B45" s="4">
        <v>801</v>
      </c>
      <c r="C45" t="s">
        <v>6</v>
      </c>
      <c r="D45" s="8" t="s">
        <v>579</v>
      </c>
      <c r="E45" s="8" t="s">
        <v>225</v>
      </c>
      <c r="F45" s="15" t="s">
        <v>174</v>
      </c>
      <c r="G45" s="26"/>
      <c r="H45" s="26"/>
      <c r="I45" s="26"/>
      <c r="J45" s="26"/>
      <c r="K45" s="26"/>
      <c r="L45" s="42" t="s">
        <v>708</v>
      </c>
      <c r="M45" s="55">
        <f>IF(O45&gt;0,O45,DATE(YEAR,October,1+7*_1st_weekday_occurrence)-WEEKDAY(DATE(YEAR,October,8-Monday)))</f>
        <v>45572</v>
      </c>
      <c r="N45" s="41"/>
    </row>
    <row r="46" spans="2:14" ht="15" customHeight="1" x14ac:dyDescent="0.25">
      <c r="B46" s="4">
        <v>987</v>
      </c>
      <c r="C46" t="s">
        <v>173</v>
      </c>
      <c r="D46" s="8" t="s">
        <v>2</v>
      </c>
      <c r="E46" s="8" t="s">
        <v>225</v>
      </c>
      <c r="F46" s="42" t="s">
        <v>174</v>
      </c>
      <c r="G46" s="26"/>
      <c r="H46" s="26"/>
      <c r="I46" s="26"/>
      <c r="J46" s="26"/>
      <c r="K46" s="26"/>
      <c r="L46" s="26" t="s">
        <v>672</v>
      </c>
      <c r="M46" s="5">
        <f>IF(O46&gt;0,O46,DATE(YEAR,October,1+7*_1st_weekday_occurrence)-WEEKDAY(DATE(YEAR,October,8-Monday)))</f>
        <v>45572</v>
      </c>
      <c r="N46" s="41"/>
    </row>
    <row r="47" spans="2:14" ht="15" customHeight="1" x14ac:dyDescent="0.25">
      <c r="B47" s="4">
        <v>5</v>
      </c>
      <c r="C47" t="s">
        <v>178</v>
      </c>
      <c r="D47" s="8" t="s">
        <v>2</v>
      </c>
      <c r="E47" s="8" t="s">
        <v>225</v>
      </c>
      <c r="F47" s="42" t="s">
        <v>179</v>
      </c>
      <c r="G47" s="42"/>
      <c r="H47" s="42"/>
      <c r="I47" s="42"/>
      <c r="J47" s="42"/>
      <c r="K47" s="42"/>
      <c r="L47" t="s">
        <v>708</v>
      </c>
      <c r="M47" s="5">
        <f>IF(O47&gt;0,O47,DATE(YEAR,October,1+7*_2nd_weekday_occurrence)-WEEKDAY(DATE(YEAR,October,8-Tuesday)))</f>
        <v>45573</v>
      </c>
      <c r="N47" s="43"/>
    </row>
    <row r="48" spans="2:14" ht="15" customHeight="1" x14ac:dyDescent="0.25">
      <c r="B48" s="4">
        <v>5</v>
      </c>
      <c r="C48" t="s">
        <v>178</v>
      </c>
      <c r="D48" s="8" t="s">
        <v>579</v>
      </c>
      <c r="F48" s="42" t="s">
        <v>179</v>
      </c>
      <c r="G48" s="42"/>
      <c r="H48" s="42"/>
      <c r="I48" s="42"/>
      <c r="J48" s="42"/>
      <c r="K48" s="42"/>
      <c r="L48" s="51" t="s">
        <v>708</v>
      </c>
      <c r="M48" s="55">
        <f>IF(O48&gt;0,O48,DATE(YEAR,October,1+7*_2nd_weekday_occurrence)-WEEKDAY(DATE(YEAR,October,8-Tuesday)))</f>
        <v>45573</v>
      </c>
      <c r="N48" s="43"/>
    </row>
    <row r="49" spans="2:14" ht="15" customHeight="1" x14ac:dyDescent="0.25">
      <c r="B49" s="4">
        <v>8</v>
      </c>
      <c r="C49" t="s">
        <v>180</v>
      </c>
      <c r="D49" s="8" t="s">
        <v>2</v>
      </c>
      <c r="E49" s="8" t="s">
        <v>225</v>
      </c>
      <c r="F49" s="42" t="s">
        <v>179</v>
      </c>
      <c r="G49" s="42"/>
      <c r="H49" s="42"/>
      <c r="I49" s="42"/>
      <c r="J49" s="42"/>
      <c r="K49" s="42"/>
      <c r="L49" t="s">
        <v>693</v>
      </c>
      <c r="M49" s="5">
        <f>IF(O49&gt;0,O49,DATE(YEAR,October,1+7*_2nd_weekday_occurrence)-WEEKDAY(DATE(YEAR,October,8-Tuesday)))</f>
        <v>45573</v>
      </c>
    </row>
    <row r="50" spans="2:14" ht="15" customHeight="1" x14ac:dyDescent="0.25">
      <c r="B50" s="4">
        <v>8</v>
      </c>
      <c r="C50" t="s">
        <v>180</v>
      </c>
      <c r="D50" s="8" t="s">
        <v>579</v>
      </c>
      <c r="F50" s="42" t="s">
        <v>179</v>
      </c>
      <c r="G50" s="42"/>
      <c r="H50" s="42"/>
      <c r="I50" s="42"/>
      <c r="J50" s="42"/>
      <c r="K50" s="42"/>
      <c r="L50" t="s">
        <v>693</v>
      </c>
      <c r="M50" s="55">
        <f>IF(O50&gt;0,O50,DATE(YEAR,October,1+7*_2nd_weekday_occurrence)-WEEKDAY(DATE(YEAR,October,8-Tuesday)))</f>
        <v>45573</v>
      </c>
    </row>
    <row r="51" spans="2:14" ht="15" customHeight="1" x14ac:dyDescent="0.25">
      <c r="B51" s="4">
        <v>433</v>
      </c>
      <c r="C51" t="s">
        <v>220</v>
      </c>
      <c r="D51" s="8" t="s">
        <v>2</v>
      </c>
      <c r="F51" s="15" t="s">
        <v>179</v>
      </c>
      <c r="G51" s="26"/>
      <c r="H51" s="26"/>
      <c r="I51" s="26"/>
      <c r="J51" s="26"/>
      <c r="K51" s="26"/>
      <c r="L51" s="51" t="s">
        <v>673</v>
      </c>
      <c r="M51" s="5">
        <f>IF(O51&gt;0,O51,DATE(YEAR,October,1+7*_2nd_weekday_occurrence)-WEEKDAY(DATE(YEAR,October,8-Tuesday)))</f>
        <v>45573</v>
      </c>
      <c r="N51" s="41"/>
    </row>
    <row r="52" spans="2:14" ht="15" customHeight="1" x14ac:dyDescent="0.25">
      <c r="B52" s="4">
        <v>433</v>
      </c>
      <c r="C52" t="s">
        <v>220</v>
      </c>
      <c r="D52" s="8" t="s">
        <v>579</v>
      </c>
      <c r="F52" s="15" t="s">
        <v>179</v>
      </c>
      <c r="G52" s="26"/>
      <c r="H52" s="26"/>
      <c r="I52" s="26"/>
      <c r="J52" s="26"/>
      <c r="K52" s="26"/>
      <c r="L52" s="51" t="s">
        <v>673</v>
      </c>
      <c r="M52" s="55">
        <f>IF(O52&gt;0,O52,DATE(YEAR,October,1+7*_2nd_weekday_occurrence)-WEEKDAY(DATE(YEAR,October,8-Tuesday)))</f>
        <v>45573</v>
      </c>
      <c r="N52" s="41"/>
    </row>
    <row r="53" spans="2:14" ht="15" customHeight="1" x14ac:dyDescent="0.25">
      <c r="B53" s="4">
        <v>224</v>
      </c>
      <c r="C53" t="s">
        <v>49</v>
      </c>
      <c r="D53" s="8" t="s">
        <v>2</v>
      </c>
      <c r="F53" s="15" t="s">
        <v>448</v>
      </c>
      <c r="G53" s="26"/>
      <c r="H53" s="26"/>
      <c r="I53" s="26"/>
      <c r="J53" s="26"/>
      <c r="K53" s="26"/>
      <c r="L53" t="s">
        <v>693</v>
      </c>
      <c r="M53" s="44">
        <f>IF(O53&gt;0,O53,DATE(YEAR,October,1+7*_2nd_weekday_occurrence)-WEEKDAY(DATE(YEAR,October,8-Wednesday)))</f>
        <v>45574</v>
      </c>
      <c r="N53" s="41"/>
    </row>
    <row r="54" spans="2:14" ht="15" customHeight="1" x14ac:dyDescent="0.25">
      <c r="B54" s="4">
        <v>224</v>
      </c>
      <c r="C54" t="s">
        <v>49</v>
      </c>
      <c r="D54" s="8" t="s">
        <v>579</v>
      </c>
      <c r="F54" s="15" t="s">
        <v>448</v>
      </c>
      <c r="G54" s="26"/>
      <c r="H54" s="26"/>
      <c r="I54" s="26"/>
      <c r="J54" s="26"/>
      <c r="K54" s="26"/>
      <c r="L54" t="s">
        <v>693</v>
      </c>
      <c r="M54" s="44">
        <f>IF(O54&gt;0,O54,DATE(YEAR,October,1+7*_2nd_weekday_occurrence)-WEEKDAY(DATE(YEAR,October,8-Wednesday)))</f>
        <v>45574</v>
      </c>
      <c r="N54" s="41"/>
    </row>
    <row r="55" spans="2:14" ht="15" customHeight="1" x14ac:dyDescent="0.25">
      <c r="B55" s="4">
        <v>469</v>
      </c>
      <c r="C55" t="s">
        <v>216</v>
      </c>
      <c r="D55" s="8" t="s">
        <v>2</v>
      </c>
      <c r="F55" s="14" t="s">
        <v>448</v>
      </c>
      <c r="G55" s="26"/>
      <c r="H55" s="26"/>
      <c r="I55" s="26"/>
      <c r="J55" s="26"/>
      <c r="K55" s="26"/>
      <c r="L55" t="s">
        <v>708</v>
      </c>
      <c r="M55" s="5">
        <f>IF(O55&gt;0,O55,DATE(YEAR,October,1+7*_2nd_weekday_occurrence)-WEEKDAY(DATE(YEAR,October,8-Wednesday)))</f>
        <v>45574</v>
      </c>
      <c r="N55" s="41"/>
    </row>
    <row r="56" spans="2:14" ht="15" customHeight="1" x14ac:dyDescent="0.25">
      <c r="B56" s="4">
        <v>833</v>
      </c>
      <c r="C56" t="s">
        <v>82</v>
      </c>
      <c r="D56" s="8" t="s">
        <v>2</v>
      </c>
      <c r="F56" s="15" t="s">
        <v>448</v>
      </c>
      <c r="G56" s="26"/>
      <c r="H56" s="26"/>
      <c r="I56" s="26"/>
      <c r="J56" s="26"/>
      <c r="K56" s="26"/>
      <c r="L56" s="51" t="s">
        <v>673</v>
      </c>
      <c r="M56" s="5">
        <f>IF(O56&gt;0,O56,DATE(YEAR,October,1+7*_2nd_weekday_occurrence)-WEEKDAY(DATE(YEAR,October,8-Wednesday)))</f>
        <v>45574</v>
      </c>
      <c r="N56" s="41"/>
    </row>
    <row r="57" spans="2:14" ht="15" customHeight="1" x14ac:dyDescent="0.25">
      <c r="B57" s="4">
        <v>856</v>
      </c>
      <c r="C57" t="s">
        <v>66</v>
      </c>
      <c r="D57" s="8" t="s">
        <v>2</v>
      </c>
      <c r="F57" s="14" t="s">
        <v>448</v>
      </c>
      <c r="G57" s="26"/>
      <c r="H57" s="26"/>
      <c r="I57" s="26"/>
      <c r="J57" s="26"/>
      <c r="K57" s="26"/>
      <c r="L57" t="s">
        <v>693</v>
      </c>
      <c r="M57" s="5">
        <f>IF(O57&gt;0,O57,DATE(YEAR,October,1+7*_2nd_weekday_occurrence)-WEEKDAY(DATE(YEAR,October,8-Wednesday)))</f>
        <v>45574</v>
      </c>
      <c r="N57" s="41"/>
    </row>
    <row r="58" spans="2:14" ht="15" customHeight="1" x14ac:dyDescent="0.25">
      <c r="B58" s="4">
        <v>856</v>
      </c>
      <c r="C58" t="s">
        <v>66</v>
      </c>
      <c r="D58" s="8" t="s">
        <v>579</v>
      </c>
      <c r="F58" s="14" t="s">
        <v>448</v>
      </c>
      <c r="G58" s="26"/>
      <c r="H58" s="26"/>
      <c r="I58" s="26"/>
      <c r="J58" s="26"/>
      <c r="K58" s="26"/>
      <c r="L58" t="s">
        <v>693</v>
      </c>
      <c r="M58" s="55">
        <f>IF(O58&gt;0,O58,DATE(YEAR,October,1+7*_2nd_weekday_occurrence)-WEEKDAY(DATE(YEAR,October,8-Wednesday)))</f>
        <v>45574</v>
      </c>
      <c r="N58" s="41"/>
    </row>
    <row r="59" spans="2:14" ht="15" customHeight="1" x14ac:dyDescent="0.25">
      <c r="B59" s="4">
        <v>616</v>
      </c>
      <c r="C59" t="s">
        <v>42</v>
      </c>
      <c r="D59" s="8" t="s">
        <v>2</v>
      </c>
      <c r="F59" s="15" t="s">
        <v>175</v>
      </c>
      <c r="G59" s="26"/>
      <c r="H59" s="26"/>
      <c r="I59" s="26"/>
      <c r="J59" s="26"/>
      <c r="K59" s="26"/>
      <c r="L59" s="51" t="s">
        <v>673</v>
      </c>
      <c r="M59" s="5">
        <f>IF(O59&gt;0,O59,DATE(YEAR,October,1+7*_2nd_weekday_occurrence)-WEEKDAY(DATE(YEAR,October,8-Saturday)))</f>
        <v>45577</v>
      </c>
      <c r="N59" s="41"/>
    </row>
    <row r="60" spans="2:14" ht="15" customHeight="1" x14ac:dyDescent="0.25">
      <c r="B60" s="4">
        <v>616</v>
      </c>
      <c r="C60" t="s">
        <v>42</v>
      </c>
      <c r="D60" s="8" t="s">
        <v>579</v>
      </c>
      <c r="E60" s="8" t="s">
        <v>225</v>
      </c>
      <c r="F60" s="15" t="s">
        <v>175</v>
      </c>
      <c r="G60" s="26"/>
      <c r="H60" s="26"/>
      <c r="I60" s="26"/>
      <c r="J60" s="26"/>
      <c r="K60" s="26"/>
      <c r="L60" s="51" t="s">
        <v>673</v>
      </c>
      <c r="M60" s="55">
        <f>IF(O60&gt;0,O60,DATE(YEAR,October,1+7*_2nd_weekday_occurrence)-WEEKDAY(DATE(YEAR,October,8-Saturday)))</f>
        <v>45577</v>
      </c>
      <c r="N60" s="41"/>
    </row>
    <row r="61" spans="2:14" ht="15" customHeight="1" x14ac:dyDescent="0.25">
      <c r="B61" s="4">
        <v>1997</v>
      </c>
      <c r="C61" t="s">
        <v>676</v>
      </c>
      <c r="D61" s="8" t="s">
        <v>2</v>
      </c>
      <c r="E61" s="8" t="s">
        <v>225</v>
      </c>
      <c r="F61" s="42" t="s">
        <v>175</v>
      </c>
      <c r="G61" s="26"/>
      <c r="H61" s="26"/>
      <c r="I61" s="26"/>
      <c r="J61" s="26"/>
      <c r="K61" s="26"/>
      <c r="L61" t="s">
        <v>708</v>
      </c>
      <c r="M61" s="5">
        <f>IF(O61&gt;0,O61,DATE(YEAR,October,1+7*_2nd_weekday_occurrence)-WEEKDAY(DATE(YEAR,October,8-Saturday)))</f>
        <v>45577</v>
      </c>
    </row>
    <row r="62" spans="2:14" ht="15" customHeight="1" x14ac:dyDescent="0.25">
      <c r="B62" s="4">
        <v>1997</v>
      </c>
      <c r="C62" t="s">
        <v>676</v>
      </c>
      <c r="D62" s="8" t="s">
        <v>579</v>
      </c>
      <c r="F62" s="54" t="s">
        <v>175</v>
      </c>
      <c r="L62" s="51" t="s">
        <v>708</v>
      </c>
      <c r="M62" s="55">
        <f>IF(O62&gt;0,O62,DATE(YEAR,October,1+7*_2nd_weekday_occurrence)-WEEKDAY(DATE(YEAR,October,8-Saturday)))</f>
        <v>45577</v>
      </c>
    </row>
    <row r="63" spans="2:14" ht="15" customHeight="1" x14ac:dyDescent="0.25">
      <c r="B63" s="4">
        <v>569</v>
      </c>
      <c r="C63" t="s">
        <v>99</v>
      </c>
      <c r="D63" s="8" t="s">
        <v>2</v>
      </c>
      <c r="F63" s="14" t="s">
        <v>177</v>
      </c>
      <c r="G63" s="26"/>
      <c r="H63" s="26"/>
      <c r="I63" s="26"/>
      <c r="J63" s="26"/>
      <c r="K63" s="26"/>
      <c r="L63" s="26" t="s">
        <v>672</v>
      </c>
      <c r="M63" s="5">
        <f>IF(O63&gt;0,O63,DATE(YEAR,October,1+7*_2nd_weekday_occurrence)-WEEKDAY(DATE(YEAR,October,8-Monday)))</f>
        <v>45579</v>
      </c>
      <c r="N63" s="41"/>
    </row>
    <row r="64" spans="2:14" ht="15" customHeight="1" x14ac:dyDescent="0.25">
      <c r="B64" s="4">
        <v>569</v>
      </c>
      <c r="C64" t="s">
        <v>99</v>
      </c>
      <c r="D64" s="8" t="s">
        <v>579</v>
      </c>
      <c r="F64" s="14" t="s">
        <v>177</v>
      </c>
      <c r="G64" s="26"/>
      <c r="H64" s="26"/>
      <c r="I64" s="26"/>
      <c r="J64" s="26"/>
      <c r="K64" s="26"/>
      <c r="L64" s="26" t="s">
        <v>672</v>
      </c>
      <c r="M64" s="55">
        <f>IF(O64&gt;0,O64,DATE(YEAR,October,1+7*_2nd_weekday_occurrence)-WEEKDAY(DATE(YEAR,October,8-Monday)))</f>
        <v>45579</v>
      </c>
      <c r="N64" s="41"/>
    </row>
    <row r="65" spans="2:14" ht="15" customHeight="1" x14ac:dyDescent="0.25">
      <c r="B65" s="4">
        <v>633</v>
      </c>
      <c r="C65" t="s">
        <v>176</v>
      </c>
      <c r="D65" s="8" t="s">
        <v>2</v>
      </c>
      <c r="E65" s="8" t="s">
        <v>225</v>
      </c>
      <c r="F65" s="42" t="s">
        <v>177</v>
      </c>
      <c r="G65" s="26"/>
      <c r="H65" s="26"/>
      <c r="I65" s="26"/>
      <c r="J65" s="26"/>
      <c r="K65" s="26"/>
      <c r="L65" t="s">
        <v>693</v>
      </c>
      <c r="M65" s="5">
        <f>IF(O65&gt;0,O65,DATE(YEAR,October,1+7*_2nd_weekday_occurrence)-WEEKDAY(DATE(YEAR,October,8-Monday)))</f>
        <v>45579</v>
      </c>
      <c r="N65" s="41"/>
    </row>
    <row r="66" spans="2:14" ht="15" customHeight="1" x14ac:dyDescent="0.25">
      <c r="B66" s="4">
        <v>633</v>
      </c>
      <c r="C66" t="s">
        <v>176</v>
      </c>
      <c r="D66" s="8" t="s">
        <v>579</v>
      </c>
      <c r="F66" s="42" t="s">
        <v>177</v>
      </c>
      <c r="G66" s="26"/>
      <c r="H66" s="26"/>
      <c r="I66" s="26"/>
      <c r="J66" s="26"/>
      <c r="K66" s="26"/>
      <c r="L66" t="s">
        <v>693</v>
      </c>
      <c r="M66" s="55">
        <f>IF(O66&gt;0,O66,DATE(YEAR,October,1+7*_2nd_weekday_occurrence)-WEEKDAY(DATE(YEAR,October,8-Monday)))</f>
        <v>45579</v>
      </c>
      <c r="N66" s="41"/>
    </row>
    <row r="67" spans="2:14" ht="15" customHeight="1" x14ac:dyDescent="0.25">
      <c r="B67" s="4">
        <v>22</v>
      </c>
      <c r="C67" t="s">
        <v>70</v>
      </c>
      <c r="D67" s="8" t="s">
        <v>2</v>
      </c>
      <c r="F67" s="14" t="s">
        <v>442</v>
      </c>
      <c r="G67" s="26"/>
      <c r="H67" s="26"/>
      <c r="I67" s="26"/>
      <c r="J67" s="26"/>
      <c r="K67" s="26"/>
      <c r="L67" t="s">
        <v>708</v>
      </c>
      <c r="M67" s="5">
        <f>IF(O67&gt;0,O67,DATE(YEAR,October,1+7*_3rd_weekday_occurrence)-WEEKDAY(DATE(YEAR,October,8-Tuesday)))</f>
        <v>45580</v>
      </c>
      <c r="N67" s="41"/>
    </row>
    <row r="68" spans="2:14" ht="15" customHeight="1" x14ac:dyDescent="0.25">
      <c r="B68" s="4">
        <v>22</v>
      </c>
      <c r="C68" t="s">
        <v>70</v>
      </c>
      <c r="D68" s="8" t="s">
        <v>579</v>
      </c>
      <c r="F68" s="14" t="s">
        <v>442</v>
      </c>
      <c r="G68" s="26"/>
      <c r="H68" s="26"/>
      <c r="I68" s="26"/>
      <c r="J68" s="26"/>
      <c r="K68" s="26"/>
      <c r="L68" s="51" t="s">
        <v>708</v>
      </c>
      <c r="M68" s="55">
        <f>IF(O68&gt;0,O68,DATE(YEAR,October,1+7*_3rd_weekday_occurrence)-WEEKDAY(DATE(YEAR,October,8-Tuesday)))</f>
        <v>45580</v>
      </c>
      <c r="N68" s="41"/>
    </row>
    <row r="69" spans="2:14" ht="15" customHeight="1" x14ac:dyDescent="0.25">
      <c r="B69" s="4">
        <v>418</v>
      </c>
      <c r="C69" t="s">
        <v>91</v>
      </c>
      <c r="D69" s="8" t="s">
        <v>2</v>
      </c>
      <c r="F69" s="15" t="s">
        <v>442</v>
      </c>
      <c r="G69" s="26"/>
      <c r="H69" s="26"/>
      <c r="I69" s="26"/>
      <c r="J69" s="26"/>
      <c r="K69" s="26"/>
      <c r="L69" s="42" t="s">
        <v>709</v>
      </c>
      <c r="M69" s="5">
        <f>IF(O69&gt;0,O69,DATE(YEAR,October,1+7*_3rd_weekday_occurrence)-WEEKDAY(DATE(YEAR,October,8-Tuesday)))</f>
        <v>45580</v>
      </c>
      <c r="N69" s="41"/>
    </row>
    <row r="70" spans="2:14" ht="15" customHeight="1" x14ac:dyDescent="0.25">
      <c r="B70" s="4">
        <v>418</v>
      </c>
      <c r="C70" t="s">
        <v>91</v>
      </c>
      <c r="D70" s="8" t="s">
        <v>579</v>
      </c>
      <c r="E70" s="8" t="s">
        <v>225</v>
      </c>
      <c r="F70" s="15" t="s">
        <v>442</v>
      </c>
      <c r="G70" s="26"/>
      <c r="H70" s="26"/>
      <c r="I70" s="26"/>
      <c r="J70" s="26"/>
      <c r="K70" s="26"/>
      <c r="L70" s="42" t="s">
        <v>709</v>
      </c>
      <c r="M70" s="55">
        <f>IF(O70&gt;0,O70,DATE(YEAR,October,1+7*_3rd_weekday_occurrence)-WEEKDAY(DATE(YEAR,October,8-Tuesday)))</f>
        <v>45580</v>
      </c>
      <c r="N70" s="41"/>
    </row>
    <row r="71" spans="2:14" ht="15" customHeight="1" x14ac:dyDescent="0.25">
      <c r="B71" s="4">
        <v>932</v>
      </c>
      <c r="C71" t="s">
        <v>63</v>
      </c>
      <c r="D71" s="8" t="s">
        <v>2</v>
      </c>
      <c r="F71" s="14" t="s">
        <v>442</v>
      </c>
      <c r="G71" s="26"/>
      <c r="H71" s="26"/>
      <c r="I71" s="26"/>
      <c r="J71" s="26"/>
      <c r="K71" s="26"/>
      <c r="L71" t="s">
        <v>709</v>
      </c>
      <c r="M71" s="5">
        <f>IF(O71&gt;0,O71,DATE(YEAR,October,1+7*_3rd_weekday_occurrence)-WEEKDAY(DATE(YEAR,October,8-Tuesday)))</f>
        <v>45580</v>
      </c>
      <c r="N71" s="41"/>
    </row>
    <row r="72" spans="2:14" ht="15" customHeight="1" x14ac:dyDescent="0.25">
      <c r="B72" s="4">
        <v>932</v>
      </c>
      <c r="C72" t="s">
        <v>63</v>
      </c>
      <c r="D72" s="8" t="s">
        <v>579</v>
      </c>
      <c r="E72" s="8" t="s">
        <v>225</v>
      </c>
      <c r="F72" s="14" t="s">
        <v>442</v>
      </c>
      <c r="G72" s="26"/>
      <c r="H72" s="26"/>
      <c r="I72" s="26"/>
      <c r="J72" s="26"/>
      <c r="K72" s="26"/>
      <c r="L72" t="s">
        <v>709</v>
      </c>
      <c r="M72" s="55">
        <f>IF(O72&gt;0,O72,DATE(YEAR,October,1+7*_3rd_weekday_occurrence)-WEEKDAY(DATE(YEAR,October,8-Tuesday)))</f>
        <v>45580</v>
      </c>
      <c r="N72" s="41"/>
    </row>
    <row r="73" spans="2:14" ht="15" customHeight="1" x14ac:dyDescent="0.25">
      <c r="B73" s="4">
        <v>899</v>
      </c>
      <c r="C73" t="s">
        <v>107</v>
      </c>
      <c r="D73" s="8" t="s">
        <v>2</v>
      </c>
      <c r="F73" s="15" t="s">
        <v>193</v>
      </c>
      <c r="G73" s="26"/>
      <c r="H73" s="26"/>
      <c r="I73" s="26"/>
      <c r="J73" s="26"/>
      <c r="K73" s="26"/>
      <c r="L73" t="s">
        <v>708</v>
      </c>
      <c r="M73" s="5">
        <f>IF(O73&gt;0,O73,DATE(YEAR,October,1+7*_3rd_weekday_occurrence)-WEEKDAY(DATE(YEAR,October,8-Wednesday)))</f>
        <v>45581</v>
      </c>
      <c r="N73" s="41"/>
    </row>
    <row r="74" spans="2:14" ht="15" customHeight="1" x14ac:dyDescent="0.25">
      <c r="B74" s="4">
        <v>996</v>
      </c>
      <c r="C74" t="s">
        <v>192</v>
      </c>
      <c r="D74" s="8" t="s">
        <v>2</v>
      </c>
      <c r="E74" s="8" t="s">
        <v>225</v>
      </c>
      <c r="F74" s="42" t="s">
        <v>193</v>
      </c>
      <c r="G74" s="26"/>
      <c r="H74" s="26"/>
      <c r="I74" s="26"/>
      <c r="J74" s="26"/>
      <c r="K74" s="26"/>
      <c r="L74" t="s">
        <v>708</v>
      </c>
      <c r="M74" s="5">
        <f>IF(O74&gt;0,O74,DATE(YEAR,October,1+7*_3rd_weekday_occurrence)-WEEKDAY(DATE(YEAR,October,8-Wednesday)))</f>
        <v>45581</v>
      </c>
      <c r="N74" s="41"/>
    </row>
    <row r="75" spans="2:14" ht="15" customHeight="1" x14ac:dyDescent="0.25">
      <c r="B75" s="4">
        <v>996</v>
      </c>
      <c r="C75" t="s">
        <v>192</v>
      </c>
      <c r="D75" s="8" t="s">
        <v>579</v>
      </c>
      <c r="F75" s="42" t="s">
        <v>193</v>
      </c>
      <c r="G75" s="26"/>
      <c r="H75" s="26"/>
      <c r="I75" s="26"/>
      <c r="J75" s="26"/>
      <c r="K75" s="26"/>
      <c r="L75" t="s">
        <v>708</v>
      </c>
      <c r="M75" s="55">
        <f>IF(O75&gt;0,O75,DATE(YEAR,October,1+7*_3rd_weekday_occurrence)-WEEKDAY(DATE(YEAR,October,8-Wednesday)))</f>
        <v>45581</v>
      </c>
      <c r="N75" s="41"/>
    </row>
    <row r="76" spans="2:14" ht="15" customHeight="1" x14ac:dyDescent="0.25">
      <c r="B76" s="4">
        <v>1265</v>
      </c>
      <c r="C76" t="s">
        <v>194</v>
      </c>
      <c r="D76" s="8" t="s">
        <v>2</v>
      </c>
      <c r="E76" s="8" t="s">
        <v>225</v>
      </c>
      <c r="F76" s="42" t="s">
        <v>193</v>
      </c>
      <c r="G76" s="26"/>
      <c r="H76" s="26"/>
      <c r="I76" s="26"/>
      <c r="J76" s="26"/>
      <c r="K76" s="26"/>
      <c r="L76" s="42" t="s">
        <v>710</v>
      </c>
      <c r="M76" s="5">
        <f>IF(O76&gt;0,O76,DATE(YEAR,October,1+7*_3rd_weekday_occurrence)-WEEKDAY(DATE(YEAR,October,8-Wednesday)))</f>
        <v>45581</v>
      </c>
      <c r="N76" s="41"/>
    </row>
    <row r="77" spans="2:14" ht="15" customHeight="1" x14ac:dyDescent="0.25">
      <c r="B77" s="4">
        <v>1265</v>
      </c>
      <c r="C77" t="s">
        <v>194</v>
      </c>
      <c r="D77" s="8" t="s">
        <v>579</v>
      </c>
      <c r="F77" s="42" t="s">
        <v>193</v>
      </c>
      <c r="G77" s="26"/>
      <c r="H77" s="26"/>
      <c r="I77" s="26"/>
      <c r="J77" s="26"/>
      <c r="K77" s="26"/>
      <c r="L77" s="42" t="s">
        <v>710</v>
      </c>
      <c r="M77" s="55">
        <f>IF(O77&gt;0,O77,DATE(YEAR,October,1+7*_3rd_weekday_occurrence)-WEEKDAY(DATE(YEAR,October,8-Wednesday)))</f>
        <v>45581</v>
      </c>
      <c r="N77" s="41"/>
    </row>
    <row r="78" spans="2:14" ht="15" customHeight="1" x14ac:dyDescent="0.25">
      <c r="B78" s="4">
        <v>1228</v>
      </c>
      <c r="C78" t="s">
        <v>84</v>
      </c>
      <c r="D78" s="8" t="s">
        <v>2</v>
      </c>
      <c r="F78" s="15" t="s">
        <v>497</v>
      </c>
      <c r="G78" s="26"/>
      <c r="H78" s="26"/>
      <c r="I78" s="26"/>
      <c r="J78" s="26"/>
      <c r="K78" s="26"/>
      <c r="L78" t="s">
        <v>710</v>
      </c>
      <c r="M78" s="5">
        <f>IF(O78&gt;0,O78,DATE(YEAR,October,1+7*_3rd_weekday_occurrence)-WEEKDAY(DATE(YEAR,October,8-Thursday)))</f>
        <v>45582</v>
      </c>
      <c r="N78" s="41"/>
    </row>
    <row r="79" spans="2:14" ht="15" customHeight="1" x14ac:dyDescent="0.25">
      <c r="B79" s="4">
        <v>1228</v>
      </c>
      <c r="C79" t="s">
        <v>84</v>
      </c>
      <c r="D79" s="8" t="s">
        <v>579</v>
      </c>
      <c r="F79" s="15" t="s">
        <v>497</v>
      </c>
      <c r="G79" s="26"/>
      <c r="H79" s="26"/>
      <c r="I79" s="26"/>
      <c r="J79" s="26"/>
      <c r="K79" s="26"/>
      <c r="L79" t="s">
        <v>710</v>
      </c>
      <c r="M79" s="55">
        <f>IF(O79&gt;0,O79,DATE(YEAR,October,1+7*_3rd_weekday_occurrence)-WEEKDAY(DATE(YEAR,October,8-Thursday)))</f>
        <v>45582</v>
      </c>
      <c r="N79" s="41"/>
    </row>
    <row r="80" spans="2:14" ht="15" customHeight="1" x14ac:dyDescent="0.25">
      <c r="B80" s="4">
        <v>1895</v>
      </c>
      <c r="C80" t="s">
        <v>184</v>
      </c>
      <c r="D80" s="8" t="s">
        <v>2</v>
      </c>
      <c r="E80" s="8" t="s">
        <v>225</v>
      </c>
      <c r="F80" s="42" t="s">
        <v>183</v>
      </c>
      <c r="G80" s="26"/>
      <c r="H80" s="26"/>
      <c r="I80" s="26"/>
      <c r="J80" s="26"/>
      <c r="K80" s="26"/>
      <c r="L80" s="5" t="s">
        <v>672</v>
      </c>
      <c r="M80" s="5">
        <f>IF(O80&gt;0,O80,DATE(YEAR,October,1+7*_3rd_weekday_occurrence)-WEEKDAY(DATE(YEAR,October,8-Thursday)))</f>
        <v>45582</v>
      </c>
      <c r="N80" s="41"/>
    </row>
    <row r="81" spans="2:14" ht="15" customHeight="1" x14ac:dyDescent="0.25">
      <c r="B81" s="4">
        <v>1994</v>
      </c>
      <c r="C81" t="s">
        <v>185</v>
      </c>
      <c r="D81" s="8" t="s">
        <v>2</v>
      </c>
      <c r="E81" s="8" t="s">
        <v>225</v>
      </c>
      <c r="F81" s="42" t="s">
        <v>183</v>
      </c>
      <c r="G81" s="26"/>
      <c r="H81" s="26"/>
      <c r="I81" s="26"/>
      <c r="J81" s="26"/>
      <c r="K81" s="26"/>
      <c r="L81" s="51" t="s">
        <v>673</v>
      </c>
      <c r="M81" s="5">
        <f>IF(O81&gt;0,O81,DATE(YEAR,October,1+7*_3rd_weekday_occurrence)-WEEKDAY(DATE(YEAR,October,8-Thursday)))</f>
        <v>45582</v>
      </c>
      <c r="N81" s="41"/>
    </row>
    <row r="82" spans="2:14" ht="15" customHeight="1" x14ac:dyDescent="0.25">
      <c r="B82" s="4" t="s">
        <v>181</v>
      </c>
      <c r="C82" t="s">
        <v>182</v>
      </c>
      <c r="D82" s="8" t="s">
        <v>2</v>
      </c>
      <c r="E82" s="8" t="s">
        <v>225</v>
      </c>
      <c r="F82" s="42" t="s">
        <v>183</v>
      </c>
      <c r="G82" s="26"/>
      <c r="H82" s="26"/>
      <c r="I82" s="26"/>
      <c r="J82" s="26"/>
      <c r="K82" s="26"/>
      <c r="L82" s="26" t="s">
        <v>672</v>
      </c>
      <c r="M82" s="44">
        <f>IF(O82&gt;0,O82,DATE(YEAR,October,1+7*_3rd_weekday_occurrence)-WEEKDAY(DATE(YEAR,October,8-Thursday)))</f>
        <v>45582</v>
      </c>
    </row>
    <row r="83" spans="2:14" ht="15" customHeight="1" x14ac:dyDescent="0.25">
      <c r="B83" s="4" t="s">
        <v>181</v>
      </c>
      <c r="C83" t="s">
        <v>182</v>
      </c>
      <c r="D83" s="8" t="s">
        <v>579</v>
      </c>
      <c r="F83" s="42" t="s">
        <v>183</v>
      </c>
      <c r="G83" s="26"/>
      <c r="H83" s="26"/>
      <c r="I83" s="26"/>
      <c r="J83" s="26"/>
      <c r="K83" s="26"/>
      <c r="L83" s="26" t="s">
        <v>672</v>
      </c>
      <c r="M83" s="44">
        <f>IF(O78&gt;0,O78,DATE(YEAR,October,1+7*_3rd_weekday_occurrence)-WEEKDAY(DATE(YEAR,October,8-Thursday)))</f>
        <v>45582</v>
      </c>
    </row>
    <row r="84" spans="2:14" ht="15" customHeight="1" x14ac:dyDescent="0.25">
      <c r="B84" s="4">
        <v>1889</v>
      </c>
      <c r="C84" t="s">
        <v>186</v>
      </c>
      <c r="D84" s="8" t="s">
        <v>2</v>
      </c>
      <c r="E84" s="8" t="s">
        <v>225</v>
      </c>
      <c r="F84" s="42" t="s">
        <v>187</v>
      </c>
      <c r="G84" s="26"/>
      <c r="H84" s="26"/>
      <c r="I84" s="26"/>
      <c r="J84" s="26"/>
      <c r="K84" s="26"/>
      <c r="L84" s="5" t="s">
        <v>672</v>
      </c>
      <c r="M84" s="5">
        <f>IF(O84&gt;0,O84,DATE(YEAR,October,1+7*_3rd_weekday_occurrence)-WEEKDAY(DATE(YEAR,October,8-Friday)))</f>
        <v>45583</v>
      </c>
      <c r="N84" s="41"/>
    </row>
    <row r="85" spans="2:14" ht="15" customHeight="1" x14ac:dyDescent="0.25">
      <c r="B85" s="4">
        <v>1889</v>
      </c>
      <c r="C85" t="s">
        <v>186</v>
      </c>
      <c r="D85" s="8" t="s">
        <v>579</v>
      </c>
      <c r="F85" s="42" t="s">
        <v>187</v>
      </c>
      <c r="G85" s="26"/>
      <c r="H85" s="26"/>
      <c r="I85" s="26"/>
      <c r="J85" s="26"/>
      <c r="K85" s="26"/>
      <c r="L85" s="5" t="s">
        <v>672</v>
      </c>
      <c r="M85" s="55">
        <f>IF(O85&gt;0,O85,DATE(YEAR,October,1+7*_3rd_weekday_occurrence)-WEEKDAY(DATE(YEAR,October,8-Friday)))</f>
        <v>45583</v>
      </c>
      <c r="N85" s="41"/>
    </row>
    <row r="86" spans="2:14" ht="15" customHeight="1" x14ac:dyDescent="0.25">
      <c r="B86" s="4">
        <v>176</v>
      </c>
      <c r="C86" t="s">
        <v>188</v>
      </c>
      <c r="D86" s="8" t="s">
        <v>2</v>
      </c>
      <c r="E86" s="8" t="s">
        <v>225</v>
      </c>
      <c r="F86" s="42" t="s">
        <v>189</v>
      </c>
      <c r="G86" s="26"/>
      <c r="H86" s="26"/>
      <c r="I86" s="26"/>
      <c r="J86" s="26"/>
      <c r="K86" s="26"/>
      <c r="L86" s="5" t="s">
        <v>709</v>
      </c>
      <c r="M86" s="44">
        <f>IF(O86&gt;0,O86,DATE(YEAR,October,1+7*_3rd_weekday_occurrence)-WEEKDAY(DATE(YEAR,October,8-Saturday)))</f>
        <v>45584</v>
      </c>
      <c r="N86" s="41"/>
    </row>
    <row r="87" spans="2:14" ht="15" customHeight="1" x14ac:dyDescent="0.25">
      <c r="B87" s="4">
        <v>176</v>
      </c>
      <c r="C87" t="s">
        <v>188</v>
      </c>
      <c r="D87" s="8" t="s">
        <v>579</v>
      </c>
      <c r="F87" s="42" t="s">
        <v>189</v>
      </c>
      <c r="G87" s="26"/>
      <c r="H87" s="26"/>
      <c r="I87" s="26"/>
      <c r="J87" s="26"/>
      <c r="K87" s="26"/>
      <c r="L87" s="5" t="s">
        <v>709</v>
      </c>
      <c r="M87" s="44">
        <f>IF(O87&gt;0,O87,DATE(YEAR,October,1+7*_3rd_weekday_occurrence)-WEEKDAY(DATE(YEAR,October,8-Saturday)))</f>
        <v>45584</v>
      </c>
      <c r="N87" s="41"/>
    </row>
    <row r="88" spans="2:14" ht="15" customHeight="1" x14ac:dyDescent="0.25">
      <c r="B88" s="4">
        <v>406</v>
      </c>
      <c r="C88" t="s">
        <v>61</v>
      </c>
      <c r="D88" s="8" t="s">
        <v>2</v>
      </c>
      <c r="F88" s="15" t="s">
        <v>191</v>
      </c>
      <c r="G88" s="26"/>
      <c r="H88" s="26"/>
      <c r="I88" s="26"/>
      <c r="J88" s="26"/>
      <c r="K88" s="26"/>
      <c r="L88" s="26" t="s">
        <v>672</v>
      </c>
      <c r="M88" s="5">
        <f>IF(O88&gt;0,O88,DATE(YEAR,October,1+7*_3rd_weekday_occurrence)-WEEKDAY(DATE(YEAR,October,8-Monday)))</f>
        <v>45586</v>
      </c>
      <c r="N88" s="41"/>
    </row>
    <row r="89" spans="2:14" ht="15" customHeight="1" x14ac:dyDescent="0.25">
      <c r="B89" s="4">
        <v>406</v>
      </c>
      <c r="C89" t="s">
        <v>61</v>
      </c>
      <c r="D89" s="8" t="s">
        <v>579</v>
      </c>
      <c r="E89" s="8" t="s">
        <v>225</v>
      </c>
      <c r="F89" s="15" t="s">
        <v>191</v>
      </c>
      <c r="G89" s="26"/>
      <c r="H89" s="26"/>
      <c r="I89" s="26"/>
      <c r="J89" s="26"/>
      <c r="K89" s="26"/>
      <c r="L89" s="26" t="s">
        <v>672</v>
      </c>
      <c r="M89" s="55">
        <f>IF(O89&gt;0,O89,DATE(YEAR,October,1+7*_3rd_weekday_occurrence)-WEEKDAY(DATE(YEAR,October,8-Monday)))</f>
        <v>45586</v>
      </c>
      <c r="N89" s="41"/>
    </row>
    <row r="90" spans="2:14" ht="15" customHeight="1" x14ac:dyDescent="0.25">
      <c r="B90" s="4">
        <v>459</v>
      </c>
      <c r="C90" t="s">
        <v>137</v>
      </c>
      <c r="D90" s="8" t="s">
        <v>2</v>
      </c>
      <c r="F90" s="14" t="s">
        <v>463</v>
      </c>
      <c r="G90" s="26"/>
      <c r="H90" s="26"/>
      <c r="I90" s="26"/>
      <c r="J90" s="26"/>
      <c r="K90" s="26"/>
      <c r="L90" s="42" t="s">
        <v>672</v>
      </c>
      <c r="M90" s="5">
        <f>IF(O90&gt;0,O90,DATE(YEAR,October,1+7*_3rd_weekday_occurrence)-WEEKDAY(DATE(YEAR,October,8-Monday)))</f>
        <v>45586</v>
      </c>
      <c r="N90" s="41"/>
    </row>
    <row r="91" spans="2:14" ht="15" customHeight="1" x14ac:dyDescent="0.25">
      <c r="B91" s="4">
        <v>459</v>
      </c>
      <c r="C91" t="s">
        <v>137</v>
      </c>
      <c r="D91" s="8" t="s">
        <v>579</v>
      </c>
      <c r="E91" s="8" t="s">
        <v>225</v>
      </c>
      <c r="F91" s="14" t="s">
        <v>463</v>
      </c>
      <c r="G91" s="26"/>
      <c r="H91" s="26"/>
      <c r="I91" s="26"/>
      <c r="J91" s="26"/>
      <c r="K91" s="26"/>
      <c r="L91" s="42" t="s">
        <v>672</v>
      </c>
      <c r="M91" s="55">
        <f>IF(O91&gt;0,O91,DATE(YEAR,October,1+7*_3rd_weekday_occurrence)-WEEKDAY(DATE(YEAR,October,8-Monday)))</f>
        <v>45586</v>
      </c>
      <c r="N91" s="41"/>
    </row>
    <row r="92" spans="2:14" ht="15" customHeight="1" x14ac:dyDescent="0.25">
      <c r="B92" s="4">
        <v>1200</v>
      </c>
      <c r="C92" t="s">
        <v>131</v>
      </c>
      <c r="D92" s="8" t="s">
        <v>2</v>
      </c>
      <c r="F92" s="15" t="s">
        <v>191</v>
      </c>
      <c r="G92" s="26"/>
      <c r="H92" s="26"/>
      <c r="I92" s="26"/>
      <c r="J92" s="26"/>
      <c r="K92" s="26"/>
      <c r="L92" s="42" t="s">
        <v>710</v>
      </c>
      <c r="M92" s="5">
        <f>IF(O92&gt;0,O92,DATE(YEAR,October,1+7*_3rd_weekday_occurrence)-WEEKDAY(DATE(YEAR,October,8-Monday)))</f>
        <v>45586</v>
      </c>
      <c r="N92" s="41"/>
    </row>
    <row r="93" spans="2:14" ht="15" customHeight="1" x14ac:dyDescent="0.25">
      <c r="B93" s="4">
        <v>1200</v>
      </c>
      <c r="C93" t="s">
        <v>131</v>
      </c>
      <c r="D93" s="8" t="s">
        <v>579</v>
      </c>
      <c r="E93" s="8" t="s">
        <v>225</v>
      </c>
      <c r="F93" s="15" t="s">
        <v>191</v>
      </c>
      <c r="G93" s="26"/>
      <c r="H93" s="26"/>
      <c r="I93" s="26"/>
      <c r="J93" s="26"/>
      <c r="K93" s="26"/>
      <c r="L93" s="42" t="s">
        <v>710</v>
      </c>
      <c r="M93" s="55">
        <f>IF(O93&gt;0,O93,DATE(YEAR,October,1+7*_3rd_weekday_occurrence)-WEEKDAY(DATE(YEAR,October,8-Monday)))</f>
        <v>45586</v>
      </c>
      <c r="N93" s="41"/>
    </row>
    <row r="94" spans="2:14" ht="15" customHeight="1" x14ac:dyDescent="0.25">
      <c r="B94" s="4">
        <v>1467</v>
      </c>
      <c r="C94" t="s">
        <v>190</v>
      </c>
      <c r="D94" s="8" t="s">
        <v>2</v>
      </c>
      <c r="E94" s="8" t="s">
        <v>225</v>
      </c>
      <c r="F94" s="42" t="s">
        <v>191</v>
      </c>
      <c r="G94" s="26"/>
      <c r="H94" s="26"/>
      <c r="I94" s="26"/>
      <c r="J94" s="26"/>
      <c r="K94" s="26"/>
      <c r="L94" s="51" t="s">
        <v>673</v>
      </c>
      <c r="M94" s="5">
        <f>IF(O94&gt;0,O94,DATE(YEAR,October,1+7*_3rd_weekday_occurrence)-WEEKDAY(DATE(YEAR,October,8-Monday)))</f>
        <v>45586</v>
      </c>
      <c r="N94" s="41"/>
    </row>
    <row r="95" spans="2:14" ht="15" customHeight="1" x14ac:dyDescent="0.25">
      <c r="B95" s="4">
        <v>1467</v>
      </c>
      <c r="C95" t="s">
        <v>190</v>
      </c>
      <c r="D95" s="8" t="s">
        <v>579</v>
      </c>
      <c r="E95" s="8" t="s">
        <v>225</v>
      </c>
      <c r="F95" s="42" t="s">
        <v>191</v>
      </c>
      <c r="G95" s="26"/>
      <c r="H95" s="26"/>
      <c r="I95" s="26"/>
      <c r="J95" s="26"/>
      <c r="K95" s="26"/>
      <c r="L95" s="51" t="s">
        <v>673</v>
      </c>
      <c r="M95" s="55">
        <f>IF(O95&gt;0,O95,DATE(YEAR,October,1+7*_3rd_weekday_occurrence)-WEEKDAY(DATE(YEAR,October,8-Monday)))</f>
        <v>45586</v>
      </c>
      <c r="N95" s="41"/>
    </row>
    <row r="96" spans="2:14" ht="15" customHeight="1" x14ac:dyDescent="0.25">
      <c r="B96" s="4">
        <v>1748</v>
      </c>
      <c r="C96" t="s">
        <v>23</v>
      </c>
      <c r="D96" s="8" t="s">
        <v>2</v>
      </c>
      <c r="F96" s="15" t="s">
        <v>506</v>
      </c>
      <c r="G96" s="26"/>
      <c r="H96" s="26"/>
      <c r="I96" s="26"/>
      <c r="J96" s="26"/>
      <c r="K96" s="26"/>
      <c r="L96" s="42" t="s">
        <v>709</v>
      </c>
      <c r="M96" s="5">
        <f>IF(O96&gt;0,O96,DATE(YEAR,October,1+7*_4th_weekday_occurrence)-WEEKDAY(DATE(YEAR,October,8-Tuesday)))</f>
        <v>45587</v>
      </c>
      <c r="N96" s="41"/>
    </row>
    <row r="97" spans="2:14" ht="15" customHeight="1" x14ac:dyDescent="0.25">
      <c r="B97" s="4">
        <v>1</v>
      </c>
      <c r="C97" t="s">
        <v>64</v>
      </c>
      <c r="D97" s="8" t="s">
        <v>2</v>
      </c>
      <c r="F97" s="14" t="s">
        <v>434</v>
      </c>
      <c r="L97" s="42" t="s">
        <v>709</v>
      </c>
      <c r="M97" s="5">
        <f>IF(O97&gt;0,O97,DATE(YEAR,October,1+7*_4th_weekday_occurrence)-WEEKDAY(DATE(YEAR,October,8-Wednesday)))</f>
        <v>45588</v>
      </c>
      <c r="N97" s="41"/>
    </row>
    <row r="98" spans="2:14" ht="15" customHeight="1" x14ac:dyDescent="0.25">
      <c r="B98" s="4">
        <v>1091</v>
      </c>
      <c r="C98" t="s">
        <v>55</v>
      </c>
      <c r="D98" s="8" t="s">
        <v>2</v>
      </c>
      <c r="F98" s="15" t="s">
        <v>434</v>
      </c>
      <c r="G98" s="26"/>
      <c r="H98" s="26"/>
      <c r="I98" s="26"/>
      <c r="J98" s="26"/>
      <c r="K98" s="26"/>
      <c r="L98" s="42" t="s">
        <v>710</v>
      </c>
      <c r="M98" s="5">
        <f>IF(O98&gt;0,O98,DATE(YEAR,October,1+7*_4th_weekday_occurrence)-WEEKDAY(DATE(YEAR,October,8-Wednesday)))</f>
        <v>45588</v>
      </c>
      <c r="N98" s="41"/>
    </row>
    <row r="99" spans="2:14" ht="15" customHeight="1" x14ac:dyDescent="0.25">
      <c r="B99" s="4">
        <v>1091</v>
      </c>
      <c r="C99" t="s">
        <v>55</v>
      </c>
      <c r="D99" s="8" t="s">
        <v>579</v>
      </c>
      <c r="E99" s="8" t="s">
        <v>225</v>
      </c>
      <c r="F99" s="15" t="s">
        <v>434</v>
      </c>
      <c r="G99" s="26"/>
      <c r="H99" s="26"/>
      <c r="I99" s="26"/>
      <c r="J99" s="26"/>
      <c r="K99" s="26"/>
      <c r="L99" s="42" t="s">
        <v>710</v>
      </c>
      <c r="M99" s="55">
        <f>IF(O99&gt;0,O99,DATE(YEAR,October,1+7*_4th_weekday_occurrence)-WEEKDAY(DATE(YEAR,October,8-Wednesday)))</f>
        <v>45588</v>
      </c>
      <c r="N99" s="41"/>
    </row>
    <row r="100" spans="2:14" ht="15" customHeight="1" x14ac:dyDescent="0.25">
      <c r="B100" s="4">
        <v>1074</v>
      </c>
      <c r="C100" t="s">
        <v>109</v>
      </c>
      <c r="D100" s="8" t="s">
        <v>2</v>
      </c>
      <c r="F100" s="15" t="s">
        <v>488</v>
      </c>
      <c r="G100" s="26"/>
      <c r="H100" s="26"/>
      <c r="I100" s="26"/>
      <c r="J100" s="26"/>
      <c r="K100" s="26"/>
      <c r="L100" t="s">
        <v>693</v>
      </c>
      <c r="M100" s="5">
        <f>IF(O100&gt;0,O100,DATE(YEAR,October,1+7*_4th_weekday_occurrence)-WEEKDAY(DATE(YEAR,October,8-Thursday)))</f>
        <v>45589</v>
      </c>
      <c r="N100" s="41"/>
    </row>
    <row r="101" spans="2:14" ht="15" customHeight="1" x14ac:dyDescent="0.25">
      <c r="B101" s="4">
        <v>1074</v>
      </c>
      <c r="C101" t="s">
        <v>109</v>
      </c>
      <c r="D101" s="8" t="s">
        <v>579</v>
      </c>
      <c r="F101" s="15" t="s">
        <v>488</v>
      </c>
      <c r="G101" s="26"/>
      <c r="H101" s="26"/>
      <c r="I101" s="26"/>
      <c r="J101" s="26"/>
      <c r="K101" s="26"/>
      <c r="L101" t="s">
        <v>693</v>
      </c>
      <c r="M101" s="55">
        <f>IF(O101&gt;0,O101,DATE(YEAR,October,1+7*_4th_weekday_occurrence)-WEEKDAY(DATE(YEAR,October,8-Thursday)))</f>
        <v>45589</v>
      </c>
      <c r="N101" s="41"/>
    </row>
    <row r="102" spans="2:14" ht="15" customHeight="1" x14ac:dyDescent="0.25">
      <c r="B102" s="4">
        <v>458</v>
      </c>
      <c r="C102" t="s">
        <v>72</v>
      </c>
      <c r="D102" s="8" t="s">
        <v>2</v>
      </c>
      <c r="F102" s="15" t="s">
        <v>462</v>
      </c>
      <c r="G102" s="26"/>
      <c r="H102" s="26"/>
      <c r="I102" s="26"/>
      <c r="J102" s="26"/>
      <c r="K102" s="26"/>
      <c r="L102" s="51" t="s">
        <v>673</v>
      </c>
      <c r="M102" s="5">
        <f>IF(O102&gt;0,O102,DATE(YEAR,October,1+7*_4th_weekday_occurrence)-WEEKDAY(DATE(YEAR,October,8-Friday)))</f>
        <v>45590</v>
      </c>
      <c r="N102" s="41"/>
    </row>
    <row r="103" spans="2:14" ht="15" customHeight="1" x14ac:dyDescent="0.25">
      <c r="B103" s="4">
        <v>458</v>
      </c>
      <c r="C103" t="s">
        <v>72</v>
      </c>
      <c r="D103" s="8" t="s">
        <v>579</v>
      </c>
      <c r="F103" s="15" t="s">
        <v>462</v>
      </c>
      <c r="G103" s="26"/>
      <c r="H103" s="26"/>
      <c r="I103" s="26"/>
      <c r="J103" s="26"/>
      <c r="K103" s="26"/>
      <c r="L103" s="5" t="s">
        <v>673</v>
      </c>
      <c r="M103" s="55">
        <f>IF(O103&gt;0,O103,DATE(YEAR,October,1+7*_4th_weekday_occurrence)-WEEKDAY(DATE(YEAR,October,8-Friday)))</f>
        <v>45590</v>
      </c>
      <c r="N103" s="41"/>
    </row>
    <row r="104" spans="2:14" ht="15" customHeight="1" x14ac:dyDescent="0.25">
      <c r="B104" s="4">
        <v>997</v>
      </c>
      <c r="C104" t="s">
        <v>88</v>
      </c>
      <c r="D104" s="8" t="s">
        <v>2</v>
      </c>
      <c r="F104" s="42" t="s">
        <v>462</v>
      </c>
      <c r="G104" s="26"/>
      <c r="H104" s="26"/>
      <c r="I104" s="26"/>
      <c r="J104" s="26"/>
      <c r="K104" s="26"/>
      <c r="L104" t="s">
        <v>710</v>
      </c>
      <c r="M104" s="5">
        <f>IF(O104&gt;0,O104,DATE(YEAR,October,1+7*_4th_weekday_occurrence)-WEEKDAY(DATE(YEAR,October,8-Friday)))</f>
        <v>45590</v>
      </c>
      <c r="N104" s="41"/>
    </row>
    <row r="105" spans="2:14" ht="15" customHeight="1" x14ac:dyDescent="0.25">
      <c r="B105" s="4">
        <v>997</v>
      </c>
      <c r="C105" t="s">
        <v>88</v>
      </c>
      <c r="D105" s="8" t="s">
        <v>579</v>
      </c>
      <c r="F105" s="42" t="s">
        <v>462</v>
      </c>
      <c r="G105" s="26"/>
      <c r="H105" s="26"/>
      <c r="I105" s="26"/>
      <c r="J105" s="26"/>
      <c r="K105" s="26"/>
      <c r="L105" t="s">
        <v>710</v>
      </c>
      <c r="M105" s="55">
        <f>IF(O105&gt;0,O105,DATE(YEAR,October,1+7*_4th_weekday_occurrence)-WEEKDAY(DATE(YEAR,October,8-Friday)))</f>
        <v>45590</v>
      </c>
      <c r="N105" s="41"/>
    </row>
    <row r="106" spans="2:14" ht="15" customHeight="1" x14ac:dyDescent="0.25">
      <c r="B106" s="4">
        <v>4</v>
      </c>
      <c r="C106" t="s">
        <v>123</v>
      </c>
      <c r="D106" s="8" t="s">
        <v>2</v>
      </c>
      <c r="F106" s="14" t="s">
        <v>436</v>
      </c>
      <c r="L106" t="s">
        <v>708</v>
      </c>
      <c r="M106" s="5">
        <f>IF(O106&gt;0,O106,DATE(YEAR,October,1+7*_4th_weekday_occurrence)-WEEKDAY(DATE(YEAR,October,8-Monday)))</f>
        <v>45593</v>
      </c>
      <c r="N106" s="41"/>
    </row>
    <row r="107" spans="2:14" ht="15" customHeight="1" x14ac:dyDescent="0.25">
      <c r="B107" s="4">
        <v>4</v>
      </c>
      <c r="C107" t="s">
        <v>123</v>
      </c>
      <c r="D107" s="8" t="s">
        <v>579</v>
      </c>
      <c r="F107" s="14" t="s">
        <v>436</v>
      </c>
      <c r="L107" t="s">
        <v>708</v>
      </c>
      <c r="M107" s="55">
        <f>IF(O107&gt;0,O107,DATE(YEAR,October,1+7*_4th_weekday_occurrence)-WEEKDAY(DATE(YEAR,October,8-Monday)))</f>
        <v>45593</v>
      </c>
      <c r="N107" s="41"/>
    </row>
    <row r="108" spans="2:14" ht="15" customHeight="1" x14ac:dyDescent="0.25">
      <c r="B108" s="4">
        <v>454</v>
      </c>
      <c r="C108" t="s">
        <v>135</v>
      </c>
      <c r="D108" s="8" t="s">
        <v>2</v>
      </c>
      <c r="F108" s="15" t="s">
        <v>436</v>
      </c>
      <c r="G108" s="26"/>
      <c r="H108" s="26"/>
      <c r="I108" s="26"/>
      <c r="J108" s="26"/>
      <c r="K108" s="26"/>
      <c r="L108" s="51" t="s">
        <v>673</v>
      </c>
      <c r="M108" s="5">
        <f>IF(O108&gt;0,O108,DATE(YEAR,October,1+7*_4th_weekday_occurrence)-WEEKDAY(DATE(YEAR,October,8-Monday)))</f>
        <v>45593</v>
      </c>
      <c r="N108" s="41"/>
    </row>
    <row r="109" spans="2:14" ht="15" customHeight="1" x14ac:dyDescent="0.25">
      <c r="B109" s="4">
        <v>454</v>
      </c>
      <c r="C109" t="s">
        <v>135</v>
      </c>
      <c r="D109" s="8" t="s">
        <v>579</v>
      </c>
      <c r="E109" s="8" t="s">
        <v>225</v>
      </c>
      <c r="F109" s="15" t="s">
        <v>436</v>
      </c>
      <c r="G109" s="26"/>
      <c r="H109" s="26"/>
      <c r="I109" s="26"/>
      <c r="J109" s="26"/>
      <c r="K109" s="26"/>
      <c r="L109" s="51" t="s">
        <v>673</v>
      </c>
      <c r="M109" s="55">
        <f>IF(O109&gt;0,O109,DATE(YEAR,October,1+7*_4th_weekday_occurrence)-WEEKDAY(DATE(YEAR,October,8-Monday)))</f>
        <v>45593</v>
      </c>
      <c r="N109" s="41"/>
    </row>
    <row r="110" spans="2:14" ht="15" customHeight="1" x14ac:dyDescent="0.25">
      <c r="B110" s="4">
        <v>104</v>
      </c>
      <c r="C110" t="s">
        <v>195</v>
      </c>
      <c r="D110" s="8" t="s">
        <v>2</v>
      </c>
      <c r="E110" s="8" t="s">
        <v>225</v>
      </c>
      <c r="F110" t="s">
        <v>532</v>
      </c>
      <c r="G110" s="5">
        <f>DATE(YEAR,October,1+7*_5th_weekday_occurrence)-WEEKDAY(DATE(YEAR,October,8-Monday))</f>
        <v>45600</v>
      </c>
      <c r="H110" s="5">
        <f>DATE(YEAR,October,1+7*_5th_weekday_occurrence)-WEEKDAY(DATE(YEAR,October,8-Tuesday))</f>
        <v>45594</v>
      </c>
      <c r="I110" s="5">
        <f>DATE(YEAR,October,1+7*_5th_weekday_occurrence)-WEEKDAY(DATE(YEAR,October,8-Wednesday))</f>
        <v>45595</v>
      </c>
      <c r="J110" s="5">
        <f>DATE(YEAR,October,1+7*_5th_weekday_occurrence)-WEEKDAY(DATE(YEAR,October,8-Thursday))</f>
        <v>45596</v>
      </c>
      <c r="K110" s="5">
        <f>DATE(YEAR,October,1+7*_5th_weekday_occurrence)-WEEKDAY(DATE(YEAR,October,8-Friday))</f>
        <v>45597</v>
      </c>
      <c r="L110" s="5" t="s">
        <v>710</v>
      </c>
      <c r="M110" s="5">
        <f>IF(O110&gt;0,O110,SMALL(G110:K110,COUNTIF(G110:K110,0)+1))</f>
        <v>45594</v>
      </c>
      <c r="N110" s="41"/>
    </row>
    <row r="111" spans="2:14" ht="15" customHeight="1" x14ac:dyDescent="0.25">
      <c r="B111" s="4">
        <v>104</v>
      </c>
      <c r="C111" t="s">
        <v>195</v>
      </c>
      <c r="D111" s="8" t="s">
        <v>579</v>
      </c>
      <c r="F111" t="s">
        <v>532</v>
      </c>
      <c r="G111" s="5">
        <f>DATE(YEAR,October,1+7*_5th_weekday_occurrence)-WEEKDAY(DATE(YEAR,October,8-Monday))</f>
        <v>45600</v>
      </c>
      <c r="H111" s="5">
        <f>DATE(YEAR,October,1+7*_5th_weekday_occurrence)-WEEKDAY(DATE(YEAR,October,8-Tuesday))</f>
        <v>45594</v>
      </c>
      <c r="I111" s="5">
        <f>DATE(YEAR,October,1+7*_5th_weekday_occurrence)-WEEKDAY(DATE(YEAR,October,8-Wednesday))</f>
        <v>45595</v>
      </c>
      <c r="J111" s="5">
        <f>DATE(YEAR,October,1+7*_5th_weekday_occurrence)-WEEKDAY(DATE(YEAR,October,8-Thursday))</f>
        <v>45596</v>
      </c>
      <c r="K111" s="5">
        <f>DATE(YEAR,October,1+7*_5th_weekday_occurrence)-WEEKDAY(DATE(YEAR,October,8-Friday))</f>
        <v>45597</v>
      </c>
      <c r="L111" s="5" t="s">
        <v>710</v>
      </c>
      <c r="M111" s="55">
        <f>IF(O111&gt;0,O111,SMALL(G111:K111,COUNTIF(G111:K111,0)+1))</f>
        <v>45594</v>
      </c>
      <c r="N111" s="41"/>
    </row>
    <row r="112" spans="2:14" ht="15" customHeight="1" x14ac:dyDescent="0.25">
      <c r="B112" s="4">
        <v>2003</v>
      </c>
      <c r="C112" t="s">
        <v>144</v>
      </c>
      <c r="D112" s="8" t="s">
        <v>2</v>
      </c>
      <c r="F112" t="s">
        <v>511</v>
      </c>
      <c r="G112" s="5">
        <f>DATE(YEAR,October,1+7*_5th_weekday_occurrence)-WEEKDAY(DATE(YEAR,October,8-Monday))</f>
        <v>45600</v>
      </c>
      <c r="H112" s="5">
        <f>DATE(YEAR,October,1+7*_5th_weekday_occurrence)-WEEKDAY(DATE(YEAR,October,8-Tuesday))</f>
        <v>45594</v>
      </c>
      <c r="I112" s="5">
        <f>DATE(YEAR,October,1+7*_5th_weekday_occurrence)-WEEKDAY(DATE(YEAR,October,8-Wednesday))</f>
        <v>45595</v>
      </c>
      <c r="J112" s="5">
        <f>DATE(YEAR,October,1+7*_5th_weekday_occurrence)-WEEKDAY(DATE(YEAR,October,8-Thursday))</f>
        <v>45596</v>
      </c>
      <c r="K112" s="5">
        <f>DATE(YEAR,October,1+7*_5th_weekday_occurrence)-WEEKDAY(DATE(YEAR,October,8-Friday))</f>
        <v>45597</v>
      </c>
      <c r="L112" s="5" t="s">
        <v>672</v>
      </c>
      <c r="M112" s="5">
        <f>IF(O112&gt;0,O112,SMALL(G112:K112,COUNTIF(G112:K112,0)+1))</f>
        <v>45594</v>
      </c>
    </row>
    <row r="113" spans="2:14" ht="15" customHeight="1" x14ac:dyDescent="0.25">
      <c r="B113" s="4">
        <v>2003</v>
      </c>
      <c r="C113" t="s">
        <v>681</v>
      </c>
      <c r="D113" s="8" t="s">
        <v>579</v>
      </c>
      <c r="E113" s="8" t="s">
        <v>225</v>
      </c>
      <c r="F113" s="54" t="s">
        <v>511</v>
      </c>
      <c r="G113" s="55">
        <f>DATE(YEAR,October,1+7*_5th_weekday_occurrence)-WEEKDAY(DATE(YEAR,October,8-Monday))</f>
        <v>45600</v>
      </c>
      <c r="H113" s="55">
        <f>DATE(YEAR,October,1+7*_5th_weekday_occurrence)-WEEKDAY(DATE(YEAR,October,8-Tuesday))</f>
        <v>45594</v>
      </c>
      <c r="I113" s="55">
        <f>DATE(YEAR,October,1+7*_5th_weekday_occurrence)-WEEKDAY(DATE(YEAR,October,8-Wednesday))</f>
        <v>45595</v>
      </c>
      <c r="J113" s="55">
        <f>DATE(YEAR,October,1+7*_5th_weekday_occurrence)-WEEKDAY(DATE(YEAR,October,8-Thursday))</f>
        <v>45596</v>
      </c>
      <c r="K113" s="55">
        <f>DATE(YEAR,October,1+7*_5th_weekday_occurrence)-WEEKDAY(DATE(YEAR,October,8-Friday))</f>
        <v>45597</v>
      </c>
      <c r="L113" s="51" t="s">
        <v>672</v>
      </c>
      <c r="M113" s="55">
        <f>IF(O113&gt;0,O113,SMALL(G113:K113,COUNTIF(G113:K113,0)+1))</f>
        <v>45594</v>
      </c>
    </row>
    <row r="114" spans="2:14" ht="15" customHeight="1" x14ac:dyDescent="0.25">
      <c r="B114" s="4">
        <v>2013</v>
      </c>
      <c r="C114" t="s">
        <v>196</v>
      </c>
      <c r="D114" s="8" t="s">
        <v>2</v>
      </c>
      <c r="E114" s="8" t="s">
        <v>225</v>
      </c>
      <c r="F114" t="s">
        <v>530</v>
      </c>
      <c r="L114" s="51" t="s">
        <v>673</v>
      </c>
      <c r="M114" s="5">
        <f>IF(O114&gt;0,O114,WORKDAY(EOMONTH(DATE(YEAR,1,1),(October-1))+1,-1))</f>
        <v>45596</v>
      </c>
    </row>
    <row r="115" spans="2:14" ht="15" customHeight="1" x14ac:dyDescent="0.25">
      <c r="B115" s="4">
        <v>2013</v>
      </c>
      <c r="C115" t="s">
        <v>196</v>
      </c>
      <c r="D115" s="8" t="s">
        <v>579</v>
      </c>
      <c r="F115" t="s">
        <v>530</v>
      </c>
      <c r="L115" s="51" t="s">
        <v>673</v>
      </c>
      <c r="M115" s="55">
        <f>IF(O115&gt;0,O115,WORKDAY(EOMONTH(DATE(YEAR,1,1),(October-1))+1,-1))</f>
        <v>45596</v>
      </c>
    </row>
    <row r="116" spans="2:14" ht="15" customHeight="1" x14ac:dyDescent="0.25">
      <c r="B116" s="4">
        <v>315</v>
      </c>
      <c r="C116" t="s">
        <v>197</v>
      </c>
      <c r="D116" s="8" t="s">
        <v>2</v>
      </c>
      <c r="E116" s="8" t="s">
        <v>225</v>
      </c>
      <c r="F116" s="42" t="s">
        <v>198</v>
      </c>
      <c r="G116" s="26"/>
      <c r="H116" s="26"/>
      <c r="I116" s="26"/>
      <c r="J116" s="26"/>
      <c r="K116" s="26"/>
      <c r="L116" t="s">
        <v>708</v>
      </c>
      <c r="M116" s="44">
        <f>IF(O116&gt;0,O116,DATE(YEAR,November,1+7*_1st_weekday_occurrence)-WEEKDAY(DATE(YEAR,November,8-Friday)))</f>
        <v>45597</v>
      </c>
      <c r="N116" s="41"/>
    </row>
    <row r="117" spans="2:14" ht="15" customHeight="1" x14ac:dyDescent="0.25">
      <c r="B117" s="4">
        <v>315</v>
      </c>
      <c r="C117" t="s">
        <v>197</v>
      </c>
      <c r="D117" s="8" t="s">
        <v>579</v>
      </c>
      <c r="F117" s="42" t="s">
        <v>198</v>
      </c>
      <c r="G117" s="26"/>
      <c r="H117" s="26"/>
      <c r="I117" s="26"/>
      <c r="J117" s="26"/>
      <c r="K117" s="26"/>
      <c r="L117" s="5" t="s">
        <v>708</v>
      </c>
      <c r="M117" s="44">
        <f>IF(O117&gt;0,O117,DATE(YEAR,November,1+7*_1st_weekday_occurrence)-WEEKDAY(DATE(YEAR,November,8-Friday)))</f>
        <v>45597</v>
      </c>
      <c r="N117" s="41"/>
    </row>
    <row r="118" spans="2:14" ht="15" customHeight="1" x14ac:dyDescent="0.25">
      <c r="B118" s="4">
        <v>577</v>
      </c>
      <c r="C118" t="s">
        <v>38</v>
      </c>
      <c r="D118" s="8" t="s">
        <v>2</v>
      </c>
      <c r="F118" s="15" t="s">
        <v>198</v>
      </c>
      <c r="G118" s="26"/>
      <c r="H118" s="26"/>
      <c r="I118" s="26"/>
      <c r="J118" s="26"/>
      <c r="K118" s="26"/>
      <c r="L118" t="s">
        <v>709</v>
      </c>
      <c r="M118" s="44">
        <f>IF(O118&gt;0,O118,DATE(YEAR,November,1+7*_1st_weekday_occurrence)-WEEKDAY(DATE(YEAR,November,8-Friday)))</f>
        <v>45597</v>
      </c>
      <c r="N118" s="41"/>
    </row>
    <row r="119" spans="2:14" ht="15" customHeight="1" x14ac:dyDescent="0.25">
      <c r="B119" s="4">
        <v>577</v>
      </c>
      <c r="C119" t="s">
        <v>38</v>
      </c>
      <c r="D119" s="8" t="s">
        <v>579</v>
      </c>
      <c r="E119" s="8" t="s">
        <v>225</v>
      </c>
      <c r="F119" s="15" t="s">
        <v>198</v>
      </c>
      <c r="G119" s="26"/>
      <c r="H119" s="26"/>
      <c r="I119" s="26"/>
      <c r="J119" s="26"/>
      <c r="K119" s="26"/>
      <c r="L119" s="5" t="s">
        <v>709</v>
      </c>
      <c r="M119" s="44">
        <f>IF(O119&gt;0,O119,DATE(YEAR,November,1+7*_1st_weekday_occurrence)-WEEKDAY(DATE(YEAR,November,8-Friday)))</f>
        <v>45597</v>
      </c>
      <c r="N119" s="41"/>
    </row>
    <row r="120" spans="2:14" ht="15" customHeight="1" x14ac:dyDescent="0.25">
      <c r="B120" s="4">
        <v>2001</v>
      </c>
      <c r="C120" t="s">
        <v>58</v>
      </c>
      <c r="D120" s="8" t="s">
        <v>2</v>
      </c>
      <c r="F120" s="14" t="s">
        <v>198</v>
      </c>
      <c r="L120" s="51" t="s">
        <v>673</v>
      </c>
      <c r="M120" s="5">
        <f>IF(O120&gt;0,O120,DATE(YEAR,November,1+7*_1st_weekday_occurrence)-WEEKDAY(DATE(YEAR,November,8-Friday)))</f>
        <v>45597</v>
      </c>
    </row>
    <row r="121" spans="2:14" ht="15" customHeight="1" x14ac:dyDescent="0.25">
      <c r="B121" s="4">
        <v>1984</v>
      </c>
      <c r="C121" t="s">
        <v>199</v>
      </c>
      <c r="D121" s="8" t="s">
        <v>2</v>
      </c>
      <c r="E121" s="8" t="s">
        <v>225</v>
      </c>
      <c r="F121" s="42" t="s">
        <v>200</v>
      </c>
      <c r="G121" s="26"/>
      <c r="H121" s="26"/>
      <c r="I121" s="26"/>
      <c r="J121" s="26"/>
      <c r="K121" s="26"/>
      <c r="L121" s="51" t="s">
        <v>708</v>
      </c>
      <c r="M121" s="5">
        <f>IF(O121&gt;0,O121,DATE(YEAR,November,1+7*_1st_weekday_occurrence)-WEEKDAY(DATE(YEAR,November,8-Saturday)))</f>
        <v>45598</v>
      </c>
      <c r="N121" s="43"/>
    </row>
    <row r="122" spans="2:14" ht="15" customHeight="1" x14ac:dyDescent="0.25">
      <c r="B122" s="4">
        <v>1984</v>
      </c>
      <c r="C122" t="s">
        <v>199</v>
      </c>
      <c r="D122" s="8" t="s">
        <v>579</v>
      </c>
      <c r="F122" s="42" t="s">
        <v>200</v>
      </c>
      <c r="G122" s="26"/>
      <c r="H122" s="26"/>
      <c r="I122" s="26"/>
      <c r="J122" s="26"/>
      <c r="K122" s="26"/>
      <c r="L122" s="51" t="s">
        <v>673</v>
      </c>
      <c r="M122" s="55">
        <f>IF(O122&gt;0,O122,DATE(YEAR,November,1+7*_1st_weekday_occurrence)-WEEKDAY(DATE(YEAR,November,8-Saturday)))</f>
        <v>45598</v>
      </c>
      <c r="N122" s="43"/>
    </row>
    <row r="123" spans="2:14" ht="15" customHeight="1" x14ac:dyDescent="0.25">
      <c r="B123" s="4">
        <v>2014</v>
      </c>
      <c r="C123" t="s">
        <v>201</v>
      </c>
      <c r="D123" s="8" t="s">
        <v>2</v>
      </c>
      <c r="E123" s="8" t="s">
        <v>225</v>
      </c>
      <c r="F123" s="42" t="s">
        <v>200</v>
      </c>
      <c r="G123" s="26"/>
      <c r="H123" s="26"/>
      <c r="I123" s="26"/>
      <c r="J123" s="26"/>
      <c r="K123" s="26"/>
      <c r="L123" s="5" t="s">
        <v>709</v>
      </c>
      <c r="M123" s="5">
        <f>IF(O123&gt;0,O123,DATE(YEAR,November,1+7*_1st_weekday_occurrence)-WEEKDAY(DATE(YEAR,November,8-Saturday)))</f>
        <v>45598</v>
      </c>
    </row>
    <row r="124" spans="2:14" ht="15" customHeight="1" x14ac:dyDescent="0.25">
      <c r="B124" s="4">
        <v>1771</v>
      </c>
      <c r="C124" t="s">
        <v>125</v>
      </c>
      <c r="D124" s="8" t="s">
        <v>2</v>
      </c>
      <c r="F124" s="14" t="s">
        <v>198</v>
      </c>
      <c r="G124" s="26"/>
      <c r="H124" s="26"/>
      <c r="I124" s="26"/>
      <c r="J124" s="26"/>
      <c r="K124" s="26"/>
      <c r="L124" t="s">
        <v>693</v>
      </c>
      <c r="M124" s="44">
        <f>IF(O124&gt;0,O124,DATE(YEAR,November,1+7*_1st_weekday_occurrence)-WEEKDAY(DATE(YEAR,November,Friday)))</f>
        <v>45600</v>
      </c>
      <c r="N124" s="41"/>
    </row>
    <row r="125" spans="2:14" ht="15" customHeight="1" x14ac:dyDescent="0.25">
      <c r="B125" s="4">
        <v>652</v>
      </c>
      <c r="C125" t="s">
        <v>127</v>
      </c>
      <c r="D125" s="8" t="s">
        <v>2</v>
      </c>
      <c r="F125" s="15" t="s">
        <v>472</v>
      </c>
      <c r="G125" s="26"/>
      <c r="H125" s="26"/>
      <c r="I125" s="26"/>
      <c r="J125" s="26"/>
      <c r="K125" s="26"/>
      <c r="L125" s="42" t="s">
        <v>709</v>
      </c>
      <c r="M125" s="5">
        <f>IF(O125&gt;0,O125,DATE(YEAR,November,1+7*_1st_weekday_occurrence)-WEEKDAY(DATE(YEAR,November,8-Tuesday)))</f>
        <v>45601</v>
      </c>
      <c r="N125" s="41"/>
    </row>
    <row r="126" spans="2:14" ht="15" customHeight="1" x14ac:dyDescent="0.25">
      <c r="B126" s="4">
        <v>652</v>
      </c>
      <c r="C126" t="s">
        <v>587</v>
      </c>
      <c r="D126" s="8" t="s">
        <v>579</v>
      </c>
      <c r="E126" s="8" t="s">
        <v>225</v>
      </c>
      <c r="F126" s="15" t="s">
        <v>472</v>
      </c>
      <c r="G126" s="26"/>
      <c r="H126" s="26"/>
      <c r="I126" s="26"/>
      <c r="J126" s="26"/>
      <c r="K126" s="26"/>
      <c r="L126" s="42" t="s">
        <v>709</v>
      </c>
      <c r="M126" s="55">
        <f>IF(O126&gt;0,O126,DATE(YEAR,November,1+7*_1st_weekday_occurrence)-WEEKDAY(DATE(YEAR,November,8-Tuesday)))</f>
        <v>45601</v>
      </c>
      <c r="N126" s="41"/>
    </row>
    <row r="127" spans="2:14" ht="15" customHeight="1" x14ac:dyDescent="0.25">
      <c r="B127" s="4">
        <v>742</v>
      </c>
      <c r="C127" t="s">
        <v>97</v>
      </c>
      <c r="D127" s="8" t="s">
        <v>2</v>
      </c>
      <c r="F127" s="14" t="s">
        <v>472</v>
      </c>
      <c r="G127" s="26"/>
      <c r="H127" s="26"/>
      <c r="I127" s="26"/>
      <c r="J127" s="26"/>
      <c r="K127" s="26"/>
      <c r="L127" s="42" t="s">
        <v>709</v>
      </c>
      <c r="M127" s="5">
        <f>IF(O127&gt;0,O127,DATE(YEAR,November,1+7*_1st_weekday_occurrence)-WEEKDAY(DATE(YEAR,November,8-Tuesday)))</f>
        <v>45601</v>
      </c>
      <c r="N127" s="41"/>
    </row>
    <row r="128" spans="2:14" ht="15" customHeight="1" x14ac:dyDescent="0.25">
      <c r="B128" s="4">
        <v>742</v>
      </c>
      <c r="C128" t="s">
        <v>97</v>
      </c>
      <c r="D128" s="8" t="s">
        <v>579</v>
      </c>
      <c r="F128" s="14" t="s">
        <v>472</v>
      </c>
      <c r="G128" s="26"/>
      <c r="H128" s="26"/>
      <c r="I128" s="26"/>
      <c r="J128" s="26"/>
      <c r="K128" s="26"/>
      <c r="L128" s="5" t="s">
        <v>709</v>
      </c>
      <c r="M128" s="55">
        <f>IF(O128&gt;0,O128,DATE(YEAR,November,1+7*_1st_weekday_occurrence)-WEEKDAY(DATE(YEAR,November,8-Tuesday)))</f>
        <v>45601</v>
      </c>
      <c r="N128" s="41"/>
    </row>
    <row r="129" spans="2:14" ht="15" customHeight="1" x14ac:dyDescent="0.25">
      <c r="B129" s="4">
        <v>1124</v>
      </c>
      <c r="C129" t="s">
        <v>74</v>
      </c>
      <c r="D129" s="8" t="s">
        <v>2</v>
      </c>
      <c r="F129" s="15" t="s">
        <v>493</v>
      </c>
      <c r="G129" s="26"/>
      <c r="H129" s="26"/>
      <c r="I129" s="26"/>
      <c r="J129" s="26"/>
      <c r="K129" s="26"/>
      <c r="L129" s="5" t="s">
        <v>710</v>
      </c>
      <c r="M129" s="5">
        <f>IF(O129&gt;0,O129,DATE(YEAR,November,1+7*_1st_weekday_occurrence)-WEEKDAY(DATE(YEAR,November,8-Wednesday)))</f>
        <v>45602</v>
      </c>
      <c r="N129" s="41"/>
    </row>
    <row r="130" spans="2:14" ht="15" customHeight="1" x14ac:dyDescent="0.25">
      <c r="B130" s="4">
        <v>1124</v>
      </c>
      <c r="C130" t="s">
        <v>74</v>
      </c>
      <c r="D130" s="8" t="s">
        <v>579</v>
      </c>
      <c r="E130" s="8" t="s">
        <v>225</v>
      </c>
      <c r="F130" s="15" t="s">
        <v>493</v>
      </c>
      <c r="G130" s="26"/>
      <c r="H130" s="26"/>
      <c r="I130" s="26"/>
      <c r="J130" s="26"/>
      <c r="K130" s="26"/>
      <c r="L130" s="5" t="s">
        <v>710</v>
      </c>
      <c r="M130" s="55">
        <f>IF(O130&gt;0,O130,DATE(YEAR,November,1+7*_1st_weekday_occurrence)-WEEKDAY(DATE(YEAR,November,8-Wednesday)))</f>
        <v>45602</v>
      </c>
      <c r="N130" s="41"/>
    </row>
    <row r="131" spans="2:14" ht="15" customHeight="1" x14ac:dyDescent="0.25">
      <c r="B131" s="4">
        <v>400</v>
      </c>
      <c r="C131" t="s">
        <v>117</v>
      </c>
      <c r="D131" s="8" t="s">
        <v>2</v>
      </c>
      <c r="F131" s="15" t="s">
        <v>458</v>
      </c>
      <c r="G131" s="26"/>
      <c r="H131" s="26"/>
      <c r="I131" s="26"/>
      <c r="J131" s="26"/>
      <c r="K131" s="26"/>
      <c r="L131" s="51" t="s">
        <v>673</v>
      </c>
      <c r="M131" s="5">
        <f>IF(O131&gt;0,O131,DATE(YEAR,November,1+7*_1st_weekday_occurrence)-WEEKDAY(DATE(YEAR,November,8-Thursday)))</f>
        <v>45603</v>
      </c>
      <c r="N131" s="41"/>
    </row>
    <row r="132" spans="2:14" ht="15" customHeight="1" x14ac:dyDescent="0.25">
      <c r="B132" s="4">
        <v>400</v>
      </c>
      <c r="C132" t="s">
        <v>584</v>
      </c>
      <c r="D132" s="8" t="s">
        <v>579</v>
      </c>
      <c r="E132" s="8" t="s">
        <v>225</v>
      </c>
      <c r="F132" s="15" t="s">
        <v>458</v>
      </c>
      <c r="G132" s="26"/>
      <c r="H132" s="26"/>
      <c r="I132" s="26"/>
      <c r="J132" s="26"/>
      <c r="K132" s="26"/>
      <c r="L132" s="51" t="s">
        <v>673</v>
      </c>
      <c r="M132" s="55">
        <f>IF(O132&gt;0,O132,DATE(YEAR,November,1+7*_1st_weekday_occurrence)-WEEKDAY(DATE(YEAR,November,8-Thursday)))</f>
        <v>45603</v>
      </c>
      <c r="N132" s="41"/>
    </row>
    <row r="133" spans="2:14" ht="15" customHeight="1" x14ac:dyDescent="0.25">
      <c r="B133" s="4">
        <v>410</v>
      </c>
      <c r="C133" t="s">
        <v>93</v>
      </c>
      <c r="D133" s="8" t="s">
        <v>2</v>
      </c>
      <c r="F133" s="15" t="s">
        <v>459</v>
      </c>
      <c r="G133" s="26"/>
      <c r="H133" s="26"/>
      <c r="I133" s="26"/>
      <c r="J133" s="26"/>
      <c r="K133" s="26"/>
      <c r="L133" t="s">
        <v>693</v>
      </c>
      <c r="M133" s="5">
        <f>IF(O133&gt;0,O133,DATE(YEAR,November,1+7*_2nd_weekday_occurrence)-WEEKDAY(DATE(YEAR,November,8-Monday)))</f>
        <v>45607</v>
      </c>
      <c r="N133" s="41"/>
    </row>
    <row r="134" spans="2:14" ht="15" customHeight="1" x14ac:dyDescent="0.25">
      <c r="B134" s="4">
        <v>410</v>
      </c>
      <c r="C134" t="s">
        <v>585</v>
      </c>
      <c r="D134" s="8" t="s">
        <v>579</v>
      </c>
      <c r="E134" s="8" t="s">
        <v>225</v>
      </c>
      <c r="F134" s="15" t="s">
        <v>459</v>
      </c>
      <c r="G134" s="26"/>
      <c r="H134" s="26"/>
      <c r="I134" s="26"/>
      <c r="J134" s="26"/>
      <c r="K134" s="26"/>
      <c r="L134" t="s">
        <v>693</v>
      </c>
      <c r="M134" s="55">
        <f>IF(O134&gt;0,O134,DATE(YEAR,November,1+7*_2nd_weekday_occurrence)-WEEKDAY(DATE(YEAR,November,8-Monday)))</f>
        <v>45607</v>
      </c>
      <c r="N134" s="41"/>
    </row>
    <row r="135" spans="2:14" ht="15" customHeight="1" x14ac:dyDescent="0.25">
      <c r="B135" s="4">
        <v>815</v>
      </c>
      <c r="C135" t="s">
        <v>80</v>
      </c>
      <c r="D135" s="8" t="s">
        <v>2</v>
      </c>
      <c r="F135" s="15" t="s">
        <v>459</v>
      </c>
      <c r="G135" s="26"/>
      <c r="H135" s="26"/>
      <c r="I135" s="26"/>
      <c r="J135" s="26"/>
      <c r="K135" s="26"/>
      <c r="L135" s="26" t="s">
        <v>673</v>
      </c>
      <c r="M135" s="5">
        <f>IF(O135&gt;0,O135,DATE(YEAR,November,1+7*_2nd_weekday_occurrence)-WEEKDAY(DATE(YEAR,November,8-Monday)))</f>
        <v>45607</v>
      </c>
      <c r="N135" s="41"/>
    </row>
    <row r="136" spans="2:14" ht="15" customHeight="1" x14ac:dyDescent="0.25">
      <c r="B136" s="4">
        <v>489</v>
      </c>
      <c r="C136" t="s">
        <v>202</v>
      </c>
      <c r="D136" s="8" t="s">
        <v>2</v>
      </c>
      <c r="E136" s="8" t="s">
        <v>225</v>
      </c>
      <c r="F136" s="42" t="s">
        <v>203</v>
      </c>
      <c r="G136" s="26"/>
      <c r="H136" s="26"/>
      <c r="I136" s="26"/>
      <c r="J136" s="26"/>
      <c r="K136" s="26"/>
      <c r="L136" t="s">
        <v>708</v>
      </c>
      <c r="M136" s="5">
        <f>IF(O136&gt;0,O136,DATE(YEAR,November,1+7*_2nd_weekday_occurrence)-WEEKDAY(DATE(YEAR,November,8-Tuesday)))</f>
        <v>45608</v>
      </c>
      <c r="N136" s="41"/>
    </row>
    <row r="137" spans="2:14" ht="15" customHeight="1" x14ac:dyDescent="0.25">
      <c r="B137" s="4">
        <v>489</v>
      </c>
      <c r="C137" t="s">
        <v>202</v>
      </c>
      <c r="D137" s="8" t="s">
        <v>579</v>
      </c>
      <c r="F137" s="42" t="s">
        <v>203</v>
      </c>
      <c r="G137" s="26"/>
      <c r="H137" s="26"/>
      <c r="I137" s="26"/>
      <c r="J137" s="26"/>
      <c r="K137" s="26"/>
      <c r="L137" t="s">
        <v>708</v>
      </c>
      <c r="M137" s="55">
        <f>IF(O137&gt;0,O137,DATE(YEAR,November,1+7*_2nd_weekday_occurrence)-WEEKDAY(DATE(YEAR,November,8-Tuesday)))</f>
        <v>45608</v>
      </c>
      <c r="N137" s="41"/>
    </row>
    <row r="138" spans="2:14" ht="15" customHeight="1" x14ac:dyDescent="0.25">
      <c r="B138" s="4">
        <v>1856</v>
      </c>
      <c r="C138" t="s">
        <v>204</v>
      </c>
      <c r="D138" s="8" t="s">
        <v>2</v>
      </c>
      <c r="E138" s="8" t="s">
        <v>225</v>
      </c>
      <c r="F138" s="42" t="s">
        <v>205</v>
      </c>
      <c r="G138" s="26"/>
      <c r="H138" s="26"/>
      <c r="I138" s="26"/>
      <c r="J138" s="26"/>
      <c r="K138" s="26"/>
      <c r="L138" t="s">
        <v>708</v>
      </c>
      <c r="M138" s="5">
        <f>IF(O138&gt;0,O138,DATE(YEAR,November,1+7*_2nd_weekday_occurrence)-WEEKDAY(DATE(YEAR,November,8-Tuesday)))</f>
        <v>45608</v>
      </c>
      <c r="N138" s="41"/>
    </row>
    <row r="139" spans="2:14" ht="15" customHeight="1" x14ac:dyDescent="0.25">
      <c r="B139" s="4">
        <v>1856</v>
      </c>
      <c r="C139" t="s">
        <v>204</v>
      </c>
      <c r="D139" s="8" t="s">
        <v>579</v>
      </c>
      <c r="F139" s="42" t="s">
        <v>205</v>
      </c>
      <c r="G139" s="26"/>
      <c r="H139" s="26"/>
      <c r="I139" s="26"/>
      <c r="J139" s="26"/>
      <c r="K139" s="26"/>
      <c r="L139" t="s">
        <v>708</v>
      </c>
      <c r="M139" s="55">
        <f>IF(O139&gt;0,O139,DATE(YEAR,November,1+7*_2nd_weekday_occurrence)-WEEKDAY(DATE(YEAR,November,8-Tuesday)))</f>
        <v>45608</v>
      </c>
      <c r="N139" s="41"/>
    </row>
    <row r="140" spans="2:14" ht="15" customHeight="1" x14ac:dyDescent="0.25">
      <c r="B140" s="4">
        <v>107</v>
      </c>
      <c r="C140" t="s">
        <v>52</v>
      </c>
      <c r="D140" s="8" t="s">
        <v>2</v>
      </c>
      <c r="F140" s="15" t="s">
        <v>444</v>
      </c>
      <c r="G140" s="26"/>
      <c r="H140" s="26"/>
      <c r="I140" s="26"/>
      <c r="J140" s="26"/>
      <c r="K140" s="26"/>
      <c r="L140" t="s">
        <v>708</v>
      </c>
      <c r="M140" s="44">
        <f>IF(O140&gt;0,O140,DATE(YEAR,November,1+7*_2nd_weekday_occurrence)-WEEKDAY(DATE(YEAR,November,8-Thursday)))</f>
        <v>45610</v>
      </c>
      <c r="N140" s="41"/>
    </row>
    <row r="141" spans="2:14" ht="15" customHeight="1" x14ac:dyDescent="0.25">
      <c r="B141" s="4">
        <v>107</v>
      </c>
      <c r="C141" t="s">
        <v>581</v>
      </c>
      <c r="D141" s="8" t="s">
        <v>579</v>
      </c>
      <c r="F141" s="15" t="s">
        <v>444</v>
      </c>
      <c r="G141" s="26"/>
      <c r="H141" s="26"/>
      <c r="I141" s="26"/>
      <c r="J141" s="26"/>
      <c r="K141" s="26"/>
      <c r="L141" t="s">
        <v>708</v>
      </c>
      <c r="M141" s="44">
        <f>IF(O141&gt;0,O141,DATE(YEAR,November,1+7*_2nd_weekday_occurrence)-WEEKDAY(DATE(YEAR,November,8-Thursday)))</f>
        <v>45610</v>
      </c>
      <c r="N141" s="41"/>
    </row>
    <row r="142" spans="2:14" ht="15" customHeight="1" x14ac:dyDescent="0.25">
      <c r="B142" s="4">
        <v>385</v>
      </c>
      <c r="C142" t="s">
        <v>33</v>
      </c>
      <c r="D142" s="8" t="s">
        <v>2</v>
      </c>
      <c r="F142" s="15" t="s">
        <v>444</v>
      </c>
      <c r="G142" s="26"/>
      <c r="H142" s="26"/>
      <c r="I142" s="26"/>
      <c r="J142" s="26"/>
      <c r="K142" s="26"/>
      <c r="L142" t="s">
        <v>708</v>
      </c>
      <c r="M142" s="5">
        <f>IF(O142&gt;0,O142,DATE(YEAR,November,1+7*_2nd_weekday_occurrence)-WEEKDAY(DATE(YEAR,November,8-Thursday)))</f>
        <v>45610</v>
      </c>
      <c r="N142" s="41"/>
    </row>
    <row r="143" spans="2:14" ht="15" customHeight="1" x14ac:dyDescent="0.25">
      <c r="B143" s="4">
        <v>385</v>
      </c>
      <c r="C143" t="s">
        <v>33</v>
      </c>
      <c r="D143" s="8" t="s">
        <v>579</v>
      </c>
      <c r="E143" s="8" t="s">
        <v>225</v>
      </c>
      <c r="F143" s="15" t="s">
        <v>444</v>
      </c>
      <c r="G143" s="26"/>
      <c r="H143" s="26"/>
      <c r="I143" s="26"/>
      <c r="J143" s="26"/>
      <c r="K143" s="26"/>
      <c r="L143" t="s">
        <v>708</v>
      </c>
      <c r="M143" s="55">
        <f>IF(O143&gt;0,O143,DATE(YEAR,November,1+7*_2nd_weekday_occurrence)-WEEKDAY(DATE(YEAR,November,8-Thursday)))</f>
        <v>45610</v>
      </c>
      <c r="N143" s="41"/>
    </row>
    <row r="144" spans="2:14" ht="15" customHeight="1" x14ac:dyDescent="0.25">
      <c r="B144" s="4">
        <v>647</v>
      </c>
      <c r="C144" t="s">
        <v>4</v>
      </c>
      <c r="D144" s="8" t="s">
        <v>2</v>
      </c>
      <c r="F144" s="15" t="s">
        <v>444</v>
      </c>
      <c r="G144" s="26"/>
      <c r="H144" s="26"/>
      <c r="I144" s="26"/>
      <c r="J144" s="26"/>
      <c r="K144" s="26"/>
      <c r="L144" t="s">
        <v>693</v>
      </c>
      <c r="M144" s="5">
        <f>IF(O144&gt;0,O144,DATE(YEAR,November,1+7*_2nd_weekday_occurrence)-WEEKDAY(DATE(YEAR,November,8-Thursday)))</f>
        <v>45610</v>
      </c>
      <c r="N144" s="41"/>
    </row>
    <row r="145" spans="2:14" ht="15" customHeight="1" x14ac:dyDescent="0.25">
      <c r="B145" s="4">
        <v>647</v>
      </c>
      <c r="C145" t="s">
        <v>4</v>
      </c>
      <c r="D145" s="8" t="s">
        <v>579</v>
      </c>
      <c r="F145" s="15" t="s">
        <v>444</v>
      </c>
      <c r="G145" s="26"/>
      <c r="H145" s="26"/>
      <c r="I145" s="26"/>
      <c r="J145" s="26"/>
      <c r="K145" s="26"/>
      <c r="L145" t="s">
        <v>693</v>
      </c>
      <c r="M145" s="55">
        <f>IF(O145&gt;0,O145,DATE(YEAR,November,1+7*_2nd_weekday_occurrence)-WEEKDAY(DATE(YEAR,November,8-Thursday)))</f>
        <v>45610</v>
      </c>
      <c r="N145" s="41"/>
    </row>
    <row r="146" spans="2:14" ht="15" customHeight="1" x14ac:dyDescent="0.25">
      <c r="B146" s="4">
        <v>1604</v>
      </c>
      <c r="C146" t="s">
        <v>121</v>
      </c>
      <c r="D146" s="8" t="s">
        <v>2</v>
      </c>
      <c r="F146" s="14" t="s">
        <v>505</v>
      </c>
      <c r="G146" s="26"/>
      <c r="H146" s="26"/>
      <c r="I146" s="26"/>
      <c r="J146" s="26"/>
      <c r="K146" s="26"/>
      <c r="L146" s="26" t="s">
        <v>672</v>
      </c>
      <c r="M146" s="5">
        <f>IF(O146&gt;0,O146,DATE(YEAR,November,1+7*_3rd_weekday_occurrence)-WEEKDAY(DATE(YEAR,November,8-Saturday)))</f>
        <v>45612</v>
      </c>
      <c r="N146" s="43"/>
    </row>
    <row r="147" spans="2:14" ht="15" customHeight="1" x14ac:dyDescent="0.25">
      <c r="B147" s="4">
        <v>1604</v>
      </c>
      <c r="C147" t="s">
        <v>121</v>
      </c>
      <c r="D147" s="8" t="s">
        <v>579</v>
      </c>
      <c r="E147" s="8" t="s">
        <v>225</v>
      </c>
      <c r="F147" s="14" t="s">
        <v>505</v>
      </c>
      <c r="G147" s="26"/>
      <c r="H147" s="26"/>
      <c r="I147" s="26"/>
      <c r="J147" s="26"/>
      <c r="K147" s="26"/>
      <c r="L147" s="26" t="s">
        <v>672</v>
      </c>
      <c r="M147" s="55">
        <f>IF(O147&gt;0,O147,DATE(YEAR,November,1+7*_3rd_weekday_occurrence)-WEEKDAY(DATE(YEAR,November,8-Saturday)))</f>
        <v>45612</v>
      </c>
      <c r="N147" s="43"/>
    </row>
    <row r="148" spans="2:14" ht="15" customHeight="1" x14ac:dyDescent="0.25">
      <c r="B148" s="4">
        <v>830</v>
      </c>
      <c r="C148" t="s">
        <v>150</v>
      </c>
      <c r="D148" s="8" t="s">
        <v>2</v>
      </c>
      <c r="F148" s="15" t="s">
        <v>480</v>
      </c>
      <c r="G148" s="26"/>
      <c r="H148" s="26"/>
      <c r="I148" s="26"/>
      <c r="J148" s="26"/>
      <c r="K148" s="26"/>
      <c r="L148" s="51" t="s">
        <v>673</v>
      </c>
      <c r="M148" s="5">
        <f>IF(O148&gt;0,O148,DATE(YEAR,November,1+7*_3rd_weekday_occurrence)-WEEKDAY(DATE(YEAR,November,8-Tuesday)))</f>
        <v>45615</v>
      </c>
      <c r="N148" s="41"/>
    </row>
    <row r="149" spans="2:14" ht="15" customHeight="1" x14ac:dyDescent="0.25">
      <c r="B149" s="4">
        <v>1870</v>
      </c>
      <c r="C149" t="s">
        <v>215</v>
      </c>
      <c r="D149" s="8" t="s">
        <v>2</v>
      </c>
      <c r="E149" s="8" t="s">
        <v>225</v>
      </c>
      <c r="F149" t="s">
        <v>696</v>
      </c>
      <c r="G149" s="5">
        <f>DATE(YEAR,November,1+7*_5th_weekday_occurrence)-WEEKDAY(DATE(YEAR,November,8-Monday))</f>
        <v>45628</v>
      </c>
      <c r="H149" s="5">
        <f>DATE(YEAR,November,1+7*_5th_weekday_occurrence)-WEEKDAY(DATE(YEAR,November,8-Tuesday))</f>
        <v>45629</v>
      </c>
      <c r="I149" s="5">
        <f>DATE(YEAR,November,1+7*_5th_weekday_occurrence)-WEEKDAY(DATE(YEAR,November,8-Wednesday))</f>
        <v>45630</v>
      </c>
      <c r="J149" s="5">
        <f>DATE(YEAR,November,1+7*_5th_weekday_occurrence)-WEEKDAY(DATE(YEAR,November,8-Thursday))</f>
        <v>45631</v>
      </c>
      <c r="K149" s="5">
        <f>DATE(YEAR,November,1+7*_5th_weekday_occurrence)-WEEKDAY(DATE(YEAR,November,8-Friday))</f>
        <v>45625</v>
      </c>
      <c r="L149" s="5" t="s">
        <v>672</v>
      </c>
      <c r="M149" s="5">
        <f>IF(O149&gt;0,O149,DATE(YEAR,November,1+7*_3rd_weekday_occurrence)-WEEKDAY(DATE(YEAR,November,8-Tuesday)))</f>
        <v>45615</v>
      </c>
      <c r="N149" s="41"/>
    </row>
    <row r="150" spans="2:14" ht="15" customHeight="1" x14ac:dyDescent="0.25">
      <c r="B150" s="4">
        <v>139</v>
      </c>
      <c r="C150" t="s">
        <v>206</v>
      </c>
      <c r="D150" s="8" t="s">
        <v>2</v>
      </c>
      <c r="E150" s="8" t="s">
        <v>225</v>
      </c>
      <c r="F150" s="42" t="s">
        <v>207</v>
      </c>
      <c r="G150" s="26"/>
      <c r="H150" s="26"/>
      <c r="I150" s="26"/>
      <c r="J150" s="26"/>
      <c r="K150" s="26"/>
      <c r="L150" s="5" t="s">
        <v>710</v>
      </c>
      <c r="M150" s="44">
        <f>IF(O150&gt;0,O150,DATE(YEAR,November,1+7*_3rd_weekday_occurrence)-WEEKDAY(DATE(YEAR,November,8-Wednesday)))</f>
        <v>45616</v>
      </c>
      <c r="N150" s="41"/>
    </row>
    <row r="151" spans="2:14" ht="15" customHeight="1" x14ac:dyDescent="0.25">
      <c r="B151" s="4">
        <v>139</v>
      </c>
      <c r="C151" t="s">
        <v>206</v>
      </c>
      <c r="D151" s="8" t="s">
        <v>579</v>
      </c>
      <c r="F151" s="42" t="s">
        <v>207</v>
      </c>
      <c r="G151" s="26"/>
      <c r="H151" s="26"/>
      <c r="I151" s="26"/>
      <c r="J151" s="26"/>
      <c r="K151" s="26"/>
      <c r="L151" s="42" t="s">
        <v>710</v>
      </c>
      <c r="M151" s="44">
        <f>IF(O151&gt;0,O151,DATE(YEAR,November,1+7*_3rd_weekday_occurrence)-WEEKDAY(DATE(YEAR,November,8-Wednesday)))</f>
        <v>45616</v>
      </c>
      <c r="N151" s="41"/>
    </row>
    <row r="152" spans="2:14" ht="15" customHeight="1" x14ac:dyDescent="0.25">
      <c r="B152" s="4">
        <v>361</v>
      </c>
      <c r="C152" t="s">
        <v>208</v>
      </c>
      <c r="D152" s="8" t="s">
        <v>2</v>
      </c>
      <c r="E152" s="8" t="s">
        <v>225</v>
      </c>
      <c r="F152" s="42" t="s">
        <v>209</v>
      </c>
      <c r="G152" s="26"/>
      <c r="H152" s="26"/>
      <c r="I152" s="26"/>
      <c r="J152" s="26"/>
      <c r="K152" s="26"/>
      <c r="L152" s="51" t="s">
        <v>673</v>
      </c>
      <c r="M152" s="44">
        <f>IF(O152&gt;0,O152,DATE(YEAR,November,1+7*_3rd_weekday_occurrence)-WEEKDAY(DATE(YEAR,November,8-Thursday)))</f>
        <v>45617</v>
      </c>
      <c r="N152" s="41"/>
    </row>
    <row r="153" spans="2:14" ht="15" customHeight="1" x14ac:dyDescent="0.25">
      <c r="B153" s="4">
        <v>361</v>
      </c>
      <c r="C153" t="s">
        <v>208</v>
      </c>
      <c r="D153" s="8" t="s">
        <v>579</v>
      </c>
      <c r="F153" s="42" t="s">
        <v>209</v>
      </c>
      <c r="G153" s="26"/>
      <c r="H153" s="26"/>
      <c r="I153" s="26"/>
      <c r="J153" s="26"/>
      <c r="K153" s="26"/>
      <c r="L153" s="51" t="s">
        <v>673</v>
      </c>
      <c r="M153" s="44">
        <f>IF(O153&gt;0,O153,DATE(YEAR,November,1+7*_3rd_weekday_occurrence)-WEEKDAY(DATE(YEAR,November,8-Thursday)))</f>
        <v>45617</v>
      </c>
      <c r="N153" s="41"/>
    </row>
    <row r="154" spans="2:14" ht="15" customHeight="1" x14ac:dyDescent="0.25">
      <c r="B154" s="4">
        <v>431</v>
      </c>
      <c r="C154" t="s">
        <v>89</v>
      </c>
      <c r="D154" s="8" t="s">
        <v>2</v>
      </c>
      <c r="F154" s="15" t="s">
        <v>460</v>
      </c>
      <c r="G154" s="26"/>
      <c r="H154" s="26"/>
      <c r="I154" s="26"/>
      <c r="J154" s="26"/>
      <c r="K154" s="26"/>
      <c r="L154" t="s">
        <v>710</v>
      </c>
      <c r="M154" s="5">
        <f>IF(O154&gt;0,O154,DATE(YEAR,November,1+7*_3rd_weekday_occurrence)-WEEKDAY(DATE(YEAR,November,8-Thursday)))</f>
        <v>45617</v>
      </c>
      <c r="N154" s="41"/>
    </row>
    <row r="155" spans="2:14" ht="15" customHeight="1" x14ac:dyDescent="0.25">
      <c r="B155" s="4">
        <v>431</v>
      </c>
      <c r="C155" t="s">
        <v>89</v>
      </c>
      <c r="D155" s="8" t="s">
        <v>579</v>
      </c>
      <c r="E155" s="8" t="s">
        <v>225</v>
      </c>
      <c r="F155" s="15" t="s">
        <v>460</v>
      </c>
      <c r="G155" s="26"/>
      <c r="H155" s="26"/>
      <c r="I155" s="26"/>
      <c r="J155" s="26"/>
      <c r="K155" s="26"/>
      <c r="L155" s="42" t="s">
        <v>710</v>
      </c>
      <c r="M155" s="55">
        <f>IF(O155&gt;0,O155,DATE(YEAR,November,1+7*_3rd_weekday_occurrence)-WEEKDAY(DATE(YEAR,November,8-Thursday)))</f>
        <v>45617</v>
      </c>
      <c r="N155" s="41"/>
    </row>
    <row r="156" spans="2:14" ht="15" customHeight="1" x14ac:dyDescent="0.25">
      <c r="B156" s="4">
        <v>1118</v>
      </c>
      <c r="C156" t="s">
        <v>210</v>
      </c>
      <c r="D156" s="8" t="s">
        <v>2</v>
      </c>
      <c r="E156" s="8" t="s">
        <v>225</v>
      </c>
      <c r="F156" s="42" t="s">
        <v>209</v>
      </c>
      <c r="G156" s="26"/>
      <c r="H156" s="26"/>
      <c r="I156" s="26"/>
      <c r="J156" s="26"/>
      <c r="K156" s="26"/>
      <c r="L156" t="s">
        <v>709</v>
      </c>
      <c r="M156" s="5">
        <f>IF(O156&gt;0,O156,DATE(YEAR,November,1+7*_3rd_weekday_occurrence)-WEEKDAY(DATE(YEAR,November,8-Thursday)))</f>
        <v>45617</v>
      </c>
      <c r="N156" s="41"/>
    </row>
    <row r="157" spans="2:14" ht="15" customHeight="1" x14ac:dyDescent="0.25">
      <c r="B157" s="4">
        <v>1118</v>
      </c>
      <c r="C157" t="s">
        <v>210</v>
      </c>
      <c r="D157" s="8" t="s">
        <v>579</v>
      </c>
      <c r="F157" s="42" t="s">
        <v>209</v>
      </c>
      <c r="G157" s="26"/>
      <c r="H157" s="26"/>
      <c r="I157" s="26"/>
      <c r="J157" s="26"/>
      <c r="K157" s="26"/>
      <c r="L157" t="s">
        <v>709</v>
      </c>
      <c r="M157" s="55">
        <f>IF(O157&gt;0,O157,DATE(YEAR,November,1+7*_3rd_weekday_occurrence)-WEEKDAY(DATE(YEAR,November,8-Thursday)))</f>
        <v>45617</v>
      </c>
      <c r="N157" s="41"/>
    </row>
    <row r="158" spans="2:14" ht="15" customHeight="1" x14ac:dyDescent="0.25">
      <c r="B158" s="4">
        <v>1978</v>
      </c>
      <c r="C158" t="s">
        <v>211</v>
      </c>
      <c r="D158" s="8" t="s">
        <v>2</v>
      </c>
      <c r="E158" s="8" t="s">
        <v>225</v>
      </c>
      <c r="F158" s="42" t="s">
        <v>212</v>
      </c>
      <c r="G158" s="26"/>
      <c r="H158" s="26"/>
      <c r="I158" s="26"/>
      <c r="J158" s="26"/>
      <c r="K158" s="26"/>
      <c r="L158" s="51" t="s">
        <v>708</v>
      </c>
      <c r="M158" s="5">
        <f>IF(O158&gt;0,O158,DATE(YEAR,November,1+7*_4th_weekday_occurrence)-WEEKDAY(DATE(YEAR,November,8-Tuesday)))</f>
        <v>45622</v>
      </c>
      <c r="N158" s="41"/>
    </row>
    <row r="159" spans="2:14" ht="15" customHeight="1" x14ac:dyDescent="0.25">
      <c r="B159" s="4">
        <v>1978</v>
      </c>
      <c r="C159" t="s">
        <v>211</v>
      </c>
      <c r="D159" s="8" t="s">
        <v>579</v>
      </c>
      <c r="F159" s="42" t="s">
        <v>212</v>
      </c>
      <c r="G159" s="26"/>
      <c r="H159" s="26"/>
      <c r="I159" s="26"/>
      <c r="J159" s="26"/>
      <c r="K159" s="26"/>
      <c r="L159" s="51" t="s">
        <v>708</v>
      </c>
      <c r="M159" s="55">
        <f>IF(O159&gt;0,O159,DATE(YEAR,November,1+7*_4th_weekday_occurrence)-WEEKDAY(DATE(YEAR,November,8-Tuesday)))</f>
        <v>45622</v>
      </c>
      <c r="N159" s="41"/>
    </row>
    <row r="160" spans="2:14" ht="15" customHeight="1" x14ac:dyDescent="0.25">
      <c r="B160" s="4" t="s">
        <v>138</v>
      </c>
      <c r="C160" t="s">
        <v>139</v>
      </c>
      <c r="D160" s="8" t="s">
        <v>2</v>
      </c>
      <c r="F160" s="15" t="s">
        <v>523</v>
      </c>
      <c r="L160" s="51" t="s">
        <v>673</v>
      </c>
      <c r="M160" s="5">
        <f>IF(O160&gt;0,O160,DATE(YEAR,November,1+7*_4th_weekday_occurrence)-WEEKDAY(DATE(YEAR,November,8-Tuesday)))</f>
        <v>45622</v>
      </c>
    </row>
    <row r="161" spans="2:14" ht="15" customHeight="1" x14ac:dyDescent="0.25">
      <c r="B161" s="4" t="s">
        <v>138</v>
      </c>
      <c r="C161" t="s">
        <v>139</v>
      </c>
      <c r="D161" s="8" t="s">
        <v>579</v>
      </c>
      <c r="F161" s="15" t="s">
        <v>523</v>
      </c>
      <c r="L161" s="51" t="s">
        <v>673</v>
      </c>
      <c r="M161" s="55">
        <f>IF(O158&gt;0,O158,DATE(YEAR,November,1+7*_4th_weekday_occurrence)-WEEKDAY(DATE(YEAR,November,8-Tuesday)))</f>
        <v>45622</v>
      </c>
    </row>
    <row r="162" spans="2:14" ht="15" customHeight="1" x14ac:dyDescent="0.25">
      <c r="B162" s="4">
        <v>7</v>
      </c>
      <c r="C162" t="s">
        <v>42</v>
      </c>
      <c r="D162" s="8" t="s">
        <v>2</v>
      </c>
      <c r="F162" t="s">
        <v>439</v>
      </c>
      <c r="L162" s="42" t="s">
        <v>710</v>
      </c>
      <c r="M162" s="5">
        <f>IF(O162&gt;0,O162,DATE(YEAR,December,1-7+7*_1st_weekday_occurrence)-WEEKDAY(DATE(YEAR,December,8-Thursday)))</f>
        <v>45624</v>
      </c>
      <c r="N162" s="41"/>
    </row>
    <row r="163" spans="2:14" ht="15" customHeight="1" x14ac:dyDescent="0.25">
      <c r="B163" s="4">
        <v>7</v>
      </c>
      <c r="C163" t="s">
        <v>42</v>
      </c>
      <c r="D163" s="8" t="s">
        <v>579</v>
      </c>
      <c r="E163" s="8" t="s">
        <v>225</v>
      </c>
      <c r="F163" t="s">
        <v>439</v>
      </c>
      <c r="L163" t="s">
        <v>710</v>
      </c>
      <c r="M163" s="55">
        <f>IF(O163&gt;0,O163,DATE(YEAR,December,1-7+7*_1st_weekday_occurrence)-WEEKDAY(DATE(YEAR,December,8-Thursday)))</f>
        <v>45624</v>
      </c>
      <c r="N163" s="41"/>
    </row>
    <row r="164" spans="2:14" ht="15" customHeight="1" x14ac:dyDescent="0.25">
      <c r="B164" s="4">
        <v>197</v>
      </c>
      <c r="C164" t="s">
        <v>213</v>
      </c>
      <c r="D164" s="8" t="s">
        <v>2</v>
      </c>
      <c r="E164" s="8" t="s">
        <v>225</v>
      </c>
      <c r="F164" s="42" t="s">
        <v>214</v>
      </c>
      <c r="G164" s="26"/>
      <c r="H164" s="26"/>
      <c r="I164" s="26"/>
      <c r="J164" s="26"/>
      <c r="K164" s="26"/>
      <c r="L164" s="26" t="s">
        <v>672</v>
      </c>
      <c r="M164" s="44">
        <f>IF(O164&gt;0,O164,DATE(YEAR,November,1+7*_4th_weekday_occurrence)-WEEKDAY(DATE(YEAR,November,8-Thursday)))</f>
        <v>45624</v>
      </c>
      <c r="N164" s="41"/>
    </row>
    <row r="165" spans="2:14" ht="15" customHeight="1" x14ac:dyDescent="0.25">
      <c r="B165" s="4">
        <v>197</v>
      </c>
      <c r="C165" t="s">
        <v>213</v>
      </c>
      <c r="D165" s="8" t="s">
        <v>579</v>
      </c>
      <c r="F165" s="42" t="s">
        <v>214</v>
      </c>
      <c r="G165" s="26"/>
      <c r="H165" s="26"/>
      <c r="I165" s="26"/>
      <c r="J165" s="26"/>
      <c r="K165" s="26"/>
      <c r="L165" s="26" t="s">
        <v>672</v>
      </c>
      <c r="M165" s="44">
        <f>IF(O165&gt;0,O165,DATE(YEAR,November,1+7*_4th_weekday_occurrence)-WEEKDAY(DATE(YEAR,November,8-Thursday)))</f>
        <v>45624</v>
      </c>
      <c r="N165" s="41"/>
    </row>
    <row r="166" spans="2:14" ht="15" customHeight="1" x14ac:dyDescent="0.25">
      <c r="B166" s="4">
        <v>828</v>
      </c>
      <c r="C166" t="s">
        <v>111</v>
      </c>
      <c r="D166" s="8" t="s">
        <v>2</v>
      </c>
      <c r="F166" s="14" t="s">
        <v>479</v>
      </c>
      <c r="G166" s="26"/>
      <c r="H166" s="26"/>
      <c r="I166" s="26"/>
      <c r="J166" s="26"/>
      <c r="K166" s="26"/>
      <c r="L166" t="s">
        <v>709</v>
      </c>
      <c r="M166" s="5">
        <f>IF(O166&gt;0,O166,DATE(YEAR,November,1+7*_4th_weekday_occurrence)-WEEKDAY(DATE(YEAR,November,8-Thursday)))</f>
        <v>45624</v>
      </c>
      <c r="N166" s="41"/>
    </row>
    <row r="167" spans="2:14" ht="15" customHeight="1" x14ac:dyDescent="0.25">
      <c r="B167" s="4">
        <v>828</v>
      </c>
      <c r="C167" t="s">
        <v>111</v>
      </c>
      <c r="D167" s="8" t="s">
        <v>579</v>
      </c>
      <c r="F167" s="14" t="s">
        <v>479</v>
      </c>
      <c r="G167" s="26"/>
      <c r="H167" s="26"/>
      <c r="I167" s="26"/>
      <c r="J167" s="26"/>
      <c r="K167" s="26"/>
      <c r="L167" t="s">
        <v>709</v>
      </c>
      <c r="M167" s="55">
        <f>IF(O167&gt;0,O167,DATE(YEAR,November,1+7*_4th_weekday_occurrence)-WEEKDAY(DATE(YEAR,November,8-Thursday)))</f>
        <v>45624</v>
      </c>
      <c r="N167" s="41"/>
    </row>
    <row r="168" spans="2:14" ht="15" customHeight="1" x14ac:dyDescent="0.25">
      <c r="B168" s="4">
        <v>234</v>
      </c>
      <c r="C168" t="s">
        <v>104</v>
      </c>
      <c r="D168" s="8" t="s">
        <v>2</v>
      </c>
      <c r="F168" s="15" t="s">
        <v>450</v>
      </c>
      <c r="G168" s="26"/>
      <c r="H168" s="26"/>
      <c r="I168" s="26"/>
      <c r="J168" s="26"/>
      <c r="K168" s="26"/>
      <c r="L168" s="26" t="s">
        <v>672</v>
      </c>
      <c r="M168" s="44">
        <f>IF(O168&gt;0,O168,DATE(YEAR,December,1+7*_1st_weekday_occurrence)-WEEKDAY(DATE(YEAR,December,8-Monday)))</f>
        <v>45628</v>
      </c>
      <c r="N168" s="41"/>
    </row>
    <row r="169" spans="2:14" ht="15" customHeight="1" x14ac:dyDescent="0.25">
      <c r="B169" s="4">
        <v>234</v>
      </c>
      <c r="C169" t="s">
        <v>104</v>
      </c>
      <c r="D169" s="8" t="s">
        <v>579</v>
      </c>
      <c r="E169" s="8" t="s">
        <v>225</v>
      </c>
      <c r="F169" s="15" t="s">
        <v>450</v>
      </c>
      <c r="G169" s="26"/>
      <c r="H169" s="26"/>
      <c r="I169" s="26"/>
      <c r="J169" s="26"/>
      <c r="K169" s="26"/>
      <c r="L169" s="26" t="s">
        <v>672</v>
      </c>
      <c r="M169" s="44">
        <f>IF(O169&gt;0,O169,DATE(YEAR,December,1+7*_1st_weekday_occurrence)-WEEKDAY(DATE(YEAR,December,8-Monday)))</f>
        <v>45628</v>
      </c>
      <c r="N169" s="41"/>
    </row>
    <row r="170" spans="2:14" ht="15" customHeight="1" x14ac:dyDescent="0.25">
      <c r="B170" s="4">
        <v>1363</v>
      </c>
      <c r="C170" t="s">
        <v>28</v>
      </c>
      <c r="D170" s="8" t="s">
        <v>2</v>
      </c>
      <c r="F170" s="14" t="s">
        <v>450</v>
      </c>
      <c r="G170" s="26"/>
      <c r="H170" s="26"/>
      <c r="I170" s="26"/>
      <c r="J170" s="26"/>
      <c r="K170" s="26"/>
      <c r="L170" s="5" t="s">
        <v>710</v>
      </c>
      <c r="M170" s="5">
        <f>IF(O170&gt;0,O170,DATE(YEAR,December,1+7*_1st_weekday_occurrence)-WEEKDAY(DATE(YEAR,December,8-Monday)))</f>
        <v>45628</v>
      </c>
      <c r="N170" s="41"/>
    </row>
    <row r="171" spans="2:14" ht="15" customHeight="1" x14ac:dyDescent="0.25">
      <c r="B171" s="4">
        <v>1363</v>
      </c>
      <c r="C171" t="s">
        <v>28</v>
      </c>
      <c r="D171" s="8" t="s">
        <v>579</v>
      </c>
      <c r="E171" s="8" t="s">
        <v>225</v>
      </c>
      <c r="F171" s="14" t="s">
        <v>450</v>
      </c>
      <c r="G171" s="26"/>
      <c r="H171" s="26"/>
      <c r="I171" s="26"/>
      <c r="J171" s="26"/>
      <c r="K171" s="26"/>
      <c r="L171" s="5" t="s">
        <v>710</v>
      </c>
      <c r="M171" s="55">
        <f>IF(O171&gt;0,O171,DATE(YEAR,December,1+7*_1st_weekday_occurrence)-WEEKDAY(DATE(YEAR,December,8-Monday)))</f>
        <v>45628</v>
      </c>
      <c r="N171" s="41"/>
    </row>
    <row r="172" spans="2:14" ht="15" customHeight="1" x14ac:dyDescent="0.25">
      <c r="B172" s="4">
        <v>748</v>
      </c>
      <c r="C172" t="s">
        <v>153</v>
      </c>
      <c r="D172" s="8" t="s">
        <v>2</v>
      </c>
      <c r="F172" s="14" t="s">
        <v>475</v>
      </c>
      <c r="G172" s="26"/>
      <c r="H172" s="26"/>
      <c r="I172" s="26"/>
      <c r="J172" s="26"/>
      <c r="K172" s="26"/>
      <c r="L172" s="42" t="s">
        <v>673</v>
      </c>
      <c r="M172" s="5">
        <f>IF(O172&gt;0,O172,DATE(YEAR,December,1+7*_1st_weekday_occurrence)-WEEKDAY(DATE(YEAR,December,8-Tuesday)))</f>
        <v>45629</v>
      </c>
      <c r="N172" s="41"/>
    </row>
    <row r="173" spans="2:14" ht="15" customHeight="1" x14ac:dyDescent="0.25">
      <c r="B173" s="4">
        <v>897</v>
      </c>
      <c r="C173" t="s">
        <v>167</v>
      </c>
      <c r="D173" s="8" t="s">
        <v>2</v>
      </c>
      <c r="F173" s="14" t="s">
        <v>475</v>
      </c>
      <c r="G173" s="26"/>
      <c r="H173" s="26"/>
      <c r="I173" s="26"/>
      <c r="J173" s="26"/>
      <c r="K173" s="26"/>
      <c r="L173" s="5" t="s">
        <v>710</v>
      </c>
      <c r="M173" s="5">
        <f>IF(O173&gt;0,O173,DATE(YEAR,December,1+7*_1st_weekday_occurrence)-WEEKDAY(DATE(YEAR,December,8-Tuesday)))</f>
        <v>45629</v>
      </c>
      <c r="N173" s="41"/>
    </row>
    <row r="174" spans="2:14" ht="15" customHeight="1" x14ac:dyDescent="0.25">
      <c r="B174" s="4">
        <v>897</v>
      </c>
      <c r="C174" t="s">
        <v>167</v>
      </c>
      <c r="D174" s="8" t="s">
        <v>579</v>
      </c>
      <c r="E174" s="8" t="s">
        <v>225</v>
      </c>
      <c r="F174" s="14" t="s">
        <v>475</v>
      </c>
      <c r="G174" s="26"/>
      <c r="H174" s="26"/>
      <c r="I174" s="26"/>
      <c r="J174" s="26"/>
      <c r="K174" s="26"/>
      <c r="L174" s="5" t="s">
        <v>710</v>
      </c>
      <c r="M174" s="55">
        <f>IF(O174&gt;0,O174,DATE(YEAR,December,1+7*_1st_weekday_occurrence)-WEEKDAY(DATE(YEAR,December,8-Tuesday)))</f>
        <v>45629</v>
      </c>
      <c r="N174" s="41"/>
    </row>
    <row r="175" spans="2:14" ht="15" customHeight="1" x14ac:dyDescent="0.25">
      <c r="B175" s="4">
        <v>1160</v>
      </c>
      <c r="C175" t="s">
        <v>78</v>
      </c>
      <c r="D175" s="8" t="s">
        <v>2</v>
      </c>
      <c r="F175" s="15" t="s">
        <v>495</v>
      </c>
      <c r="G175" s="26"/>
      <c r="H175" s="26"/>
      <c r="I175" s="26"/>
      <c r="J175" s="26"/>
      <c r="K175" s="26"/>
      <c r="L175" t="s">
        <v>693</v>
      </c>
      <c r="M175" s="5">
        <f>IF(O175&gt;0,O175,DATE(YEAR,December,1+7*_1st_weekday_occurrence)-WEEKDAY(DATE(YEAR,December,8-Thursday)))</f>
        <v>45631</v>
      </c>
      <c r="N175" s="41"/>
    </row>
    <row r="176" spans="2:14" ht="15" customHeight="1" x14ac:dyDescent="0.25">
      <c r="B176" s="4">
        <v>1160</v>
      </c>
      <c r="C176" t="s">
        <v>78</v>
      </c>
      <c r="D176" s="8" t="s">
        <v>579</v>
      </c>
      <c r="F176" s="15" t="s">
        <v>495</v>
      </c>
      <c r="G176" s="26"/>
      <c r="H176" s="26"/>
      <c r="I176" s="26"/>
      <c r="J176" s="26"/>
      <c r="K176" s="26"/>
      <c r="L176" t="s">
        <v>693</v>
      </c>
      <c r="M176" s="55">
        <f>IF(O176&gt;0,O176,DATE(YEAR,December,1+7*_1st_weekday_occurrence)-WEEKDAY(DATE(YEAR,December,8-Thursday)))</f>
        <v>45631</v>
      </c>
      <c r="N176" s="41"/>
    </row>
    <row r="177" spans="2:14" ht="15" customHeight="1" x14ac:dyDescent="0.25">
      <c r="B177" s="4">
        <v>728</v>
      </c>
      <c r="C177" t="s">
        <v>86</v>
      </c>
      <c r="D177" s="8" t="s">
        <v>2</v>
      </c>
      <c r="F177" s="15" t="s">
        <v>474</v>
      </c>
      <c r="G177" s="26"/>
      <c r="H177" s="26"/>
      <c r="I177" s="26"/>
      <c r="J177" s="26"/>
      <c r="K177" s="26"/>
      <c r="L177" t="s">
        <v>708</v>
      </c>
      <c r="M177" s="5">
        <f>IF(O177&gt;0,O177,DATE(YEAR,December,1+7*_1st_weekday_occurrence)-WEEKDAY(DATE(YEAR,December,8-Friday)))</f>
        <v>45632</v>
      </c>
      <c r="N177" s="41"/>
    </row>
    <row r="178" spans="2:14" ht="15" customHeight="1" x14ac:dyDescent="0.25">
      <c r="B178" s="4">
        <v>728</v>
      </c>
      <c r="C178" t="s">
        <v>86</v>
      </c>
      <c r="D178" s="8" t="s">
        <v>579</v>
      </c>
      <c r="E178" s="8" t="s">
        <v>225</v>
      </c>
      <c r="F178" s="15" t="s">
        <v>474</v>
      </c>
      <c r="G178" s="26"/>
      <c r="H178" s="26"/>
      <c r="I178" s="26"/>
      <c r="J178" s="26"/>
      <c r="K178" s="26"/>
      <c r="L178" t="s">
        <v>708</v>
      </c>
      <c r="M178" s="55">
        <f>IF(O178&gt;0,O178,DATE(YEAR,December,1+7*_1st_weekday_occurrence)-WEEKDAY(DATE(YEAR,December,8-Friday)))</f>
        <v>45632</v>
      </c>
      <c r="N178" s="41"/>
    </row>
    <row r="179" spans="2:14" ht="15" customHeight="1" x14ac:dyDescent="0.25">
      <c r="B179" s="4">
        <v>1909</v>
      </c>
      <c r="C179" t="s">
        <v>102</v>
      </c>
      <c r="D179" s="8" t="s">
        <v>2</v>
      </c>
      <c r="F179" s="15" t="s">
        <v>514</v>
      </c>
      <c r="G179" s="26"/>
      <c r="H179" s="26"/>
      <c r="I179" s="26"/>
      <c r="J179" s="26"/>
      <c r="K179" s="26"/>
      <c r="L179" s="5" t="s">
        <v>710</v>
      </c>
      <c r="M179" s="5">
        <f>IF(O179&gt;0,O179,DATE(YEAR,December,1+7*_1st_weekday_occurrence)-WEEKDAY(DATE(YEAR,December,8-Saturday)))</f>
        <v>45633</v>
      </c>
      <c r="N179" s="41"/>
    </row>
    <row r="180" spans="2:14" ht="15" customHeight="1" x14ac:dyDescent="0.25">
      <c r="B180" s="4">
        <v>1909</v>
      </c>
      <c r="C180" t="s">
        <v>102</v>
      </c>
      <c r="D180" s="8" t="s">
        <v>579</v>
      </c>
      <c r="F180" s="15" t="s">
        <v>514</v>
      </c>
      <c r="G180" s="26"/>
      <c r="H180" s="26"/>
      <c r="I180" s="26"/>
      <c r="J180" s="26"/>
      <c r="K180" s="26"/>
      <c r="L180" s="5" t="s">
        <v>710</v>
      </c>
      <c r="M180" s="55">
        <f>IF(O180&gt;0,O180,DATE(YEAR,December,1+7*_1st_weekday_occurrence)-WEEKDAY(DATE(YEAR,December,8-Saturday)))</f>
        <v>45633</v>
      </c>
      <c r="N180" s="41"/>
    </row>
    <row r="181" spans="2:14" ht="15" customHeight="1" x14ac:dyDescent="0.25">
      <c r="B181" s="4">
        <v>469</v>
      </c>
      <c r="C181" t="s">
        <v>216</v>
      </c>
      <c r="D181" s="8" t="s">
        <v>2</v>
      </c>
      <c r="E181" s="8" t="s">
        <v>225</v>
      </c>
      <c r="F181" s="42" t="s">
        <v>217</v>
      </c>
      <c r="G181" s="26"/>
      <c r="H181" s="26"/>
      <c r="I181" s="26"/>
      <c r="J181" s="26"/>
      <c r="K181" s="26"/>
      <c r="L181" t="s">
        <v>708</v>
      </c>
      <c r="M181" s="5">
        <f>IF(O181&gt;0,O181,DATE(YEAR,December,1+7*_2nd_weekday_occurrence)-WEEKDAY(DATE(YEAR,December,8-Wednesday)))</f>
        <v>45637</v>
      </c>
      <c r="N181" s="41"/>
    </row>
    <row r="182" spans="2:14" ht="15" customHeight="1" x14ac:dyDescent="0.25">
      <c r="B182" s="4">
        <v>1638</v>
      </c>
      <c r="C182" t="s">
        <v>75</v>
      </c>
      <c r="D182" s="8" t="s">
        <v>2</v>
      </c>
      <c r="F182" s="15" t="s">
        <v>217</v>
      </c>
      <c r="G182" s="26"/>
      <c r="H182" s="26"/>
      <c r="I182" s="26"/>
      <c r="J182" s="26"/>
      <c r="K182" s="26"/>
      <c r="L182" t="s">
        <v>672</v>
      </c>
      <c r="M182" s="44">
        <f>IF(O182&gt;0,O182,DATE(YEAR,December,1+7*_2nd_weekday_occurrence)-WEEKDAY(DATE(YEAR,December,8-Wednesday)))</f>
        <v>45637</v>
      </c>
      <c r="N182" s="41"/>
    </row>
    <row r="183" spans="2:14" ht="15" customHeight="1" x14ac:dyDescent="0.25">
      <c r="B183" s="4">
        <v>1638</v>
      </c>
      <c r="C183" t="s">
        <v>75</v>
      </c>
      <c r="D183" s="8" t="s">
        <v>579</v>
      </c>
      <c r="F183" s="15" t="s">
        <v>217</v>
      </c>
      <c r="G183" s="26"/>
      <c r="H183" s="26"/>
      <c r="I183" s="26"/>
      <c r="J183" s="26"/>
      <c r="K183" s="26"/>
      <c r="L183" t="s">
        <v>672</v>
      </c>
      <c r="M183" s="44">
        <f>IF(O183&gt;0,O183,DATE(YEAR,December,1+7*_2nd_weekday_occurrence)-WEEKDAY(DATE(YEAR,December,8-Wednesday)))</f>
        <v>45637</v>
      </c>
      <c r="N183" s="41"/>
    </row>
    <row r="184" spans="2:14" ht="15" customHeight="1" x14ac:dyDescent="0.25">
      <c r="B184" s="4">
        <v>802</v>
      </c>
      <c r="C184" t="s">
        <v>169</v>
      </c>
      <c r="D184" s="8" t="s">
        <v>2</v>
      </c>
      <c r="F184" s="15" t="s">
        <v>477</v>
      </c>
      <c r="G184" s="26"/>
      <c r="H184" s="26"/>
      <c r="I184" s="26"/>
      <c r="J184" s="26"/>
      <c r="K184" s="26"/>
      <c r="L184" s="42" t="s">
        <v>709</v>
      </c>
      <c r="M184" s="5">
        <f>IF(O184&gt;0,O184,DATE(YEAR,December,1+7*_2nd_weekday_occurrence)-WEEKDAY(DATE(YEAR,December,8-Thursday)))</f>
        <v>45638</v>
      </c>
      <c r="N184" s="41"/>
    </row>
    <row r="185" spans="2:14" ht="15" customHeight="1" x14ac:dyDescent="0.25">
      <c r="B185" s="4">
        <v>802</v>
      </c>
      <c r="C185" t="s">
        <v>169</v>
      </c>
      <c r="D185" s="8" t="s">
        <v>579</v>
      </c>
      <c r="F185" s="15" t="s">
        <v>477</v>
      </c>
      <c r="G185" s="26"/>
      <c r="H185" s="26"/>
      <c r="I185" s="26"/>
      <c r="J185" s="26"/>
      <c r="K185" s="26"/>
      <c r="L185" s="42" t="s">
        <v>709</v>
      </c>
      <c r="M185" s="55">
        <f>IF(O185&gt;0,O185,DATE(YEAR,December,1+7*_2nd_weekday_occurrence)-WEEKDAY(DATE(YEAR,December,8-Thursday)))</f>
        <v>45638</v>
      </c>
      <c r="N185" s="41"/>
    </row>
    <row r="186" spans="2:14" ht="15" customHeight="1" x14ac:dyDescent="0.25">
      <c r="B186" s="4">
        <v>1389</v>
      </c>
      <c r="C186" t="s">
        <v>218</v>
      </c>
      <c r="D186" s="8" t="s">
        <v>2</v>
      </c>
      <c r="E186" s="8" t="s">
        <v>225</v>
      </c>
      <c r="F186" s="42" t="s">
        <v>219</v>
      </c>
      <c r="G186" s="26"/>
      <c r="H186" s="26"/>
      <c r="I186" s="26"/>
      <c r="J186" s="26"/>
      <c r="K186" s="26"/>
      <c r="L186" s="42" t="s">
        <v>709</v>
      </c>
      <c r="M186" s="5">
        <f>IF(O186&gt;0,O186,DATE(YEAR,December,1+7*_2nd_weekday_occurrence)-WEEKDAY(DATE(YEAR,December,8-Thursday)))</f>
        <v>45638</v>
      </c>
      <c r="N186" s="41"/>
    </row>
    <row r="187" spans="2:14" ht="15" customHeight="1" x14ac:dyDescent="0.25">
      <c r="B187" s="4">
        <v>433</v>
      </c>
      <c r="C187" t="s">
        <v>220</v>
      </c>
      <c r="D187" s="8" t="s">
        <v>2</v>
      </c>
      <c r="E187" s="8" t="s">
        <v>225</v>
      </c>
      <c r="F187" s="42" t="s">
        <v>221</v>
      </c>
      <c r="G187" s="26"/>
      <c r="H187" s="26"/>
      <c r="I187" s="26"/>
      <c r="J187" s="26"/>
      <c r="K187" s="26"/>
      <c r="L187" s="51" t="s">
        <v>673</v>
      </c>
      <c r="M187" s="5">
        <f>IF(O187&gt;0,O187,DATE(YEAR,December,1+7*_2nd_weekday_occurrence)-WEEKDAY(DATE(YEAR,December,8-Friday)))</f>
        <v>45639</v>
      </c>
      <c r="N187" s="41"/>
    </row>
    <row r="188" spans="2:14" ht="15" customHeight="1" x14ac:dyDescent="0.25">
      <c r="B188" s="4">
        <v>433</v>
      </c>
      <c r="C188" t="s">
        <v>220</v>
      </c>
      <c r="D188" s="8" t="s">
        <v>579</v>
      </c>
      <c r="F188" s="42" t="s">
        <v>221</v>
      </c>
      <c r="G188" s="26"/>
      <c r="H188" s="26"/>
      <c r="I188" s="26"/>
      <c r="J188" s="26"/>
      <c r="K188" s="26"/>
      <c r="L188" s="51" t="s">
        <v>673</v>
      </c>
      <c r="M188" s="55">
        <f>IF(O188&gt;0,O188,DATE(YEAR,December,1+7*_2nd_weekday_occurrence)-WEEKDAY(DATE(YEAR,December,8-Friday)))</f>
        <v>45639</v>
      </c>
      <c r="N188" s="41"/>
    </row>
    <row r="189" spans="2:14" ht="15" customHeight="1" x14ac:dyDescent="0.25">
      <c r="B189" s="4">
        <v>1473</v>
      </c>
      <c r="C189" t="s">
        <v>101</v>
      </c>
      <c r="D189" s="8" t="s">
        <v>2</v>
      </c>
      <c r="F189" s="15" t="s">
        <v>503</v>
      </c>
      <c r="G189" s="26"/>
      <c r="H189" s="26"/>
      <c r="I189" s="26"/>
      <c r="J189" s="26"/>
      <c r="K189" s="26"/>
      <c r="L189" s="26" t="s">
        <v>672</v>
      </c>
      <c r="M189" s="5">
        <f>IF(O189&gt;0,O189,DATE(YEAR,December,1+7*_3rd_weekday_occurrence)-WEEKDAY(DATE(YEAR,December,8-Wednesday)))</f>
        <v>45644</v>
      </c>
      <c r="N189" s="41"/>
    </row>
    <row r="190" spans="2:14" ht="15" customHeight="1" x14ac:dyDescent="0.25">
      <c r="B190" s="4">
        <v>1473</v>
      </c>
      <c r="C190" t="s">
        <v>101</v>
      </c>
      <c r="D190" s="8" t="s">
        <v>579</v>
      </c>
      <c r="F190" s="15" t="s">
        <v>503</v>
      </c>
      <c r="G190" s="26"/>
      <c r="H190" s="26"/>
      <c r="I190" s="26"/>
      <c r="J190" s="26"/>
      <c r="K190" s="26"/>
      <c r="L190" s="26" t="s">
        <v>672</v>
      </c>
      <c r="M190" s="55">
        <f>IF(O190&gt;0,O190,DATE(YEAR,December,1+7*_3rd_weekday_occurrence)-WEEKDAY(DATE(YEAR,December,8-Wednesday)))</f>
        <v>45644</v>
      </c>
      <c r="N190" s="41"/>
    </row>
    <row r="191" spans="2:14" ht="15" customHeight="1" x14ac:dyDescent="0.25">
      <c r="B191" s="4">
        <v>5</v>
      </c>
      <c r="C191" t="s">
        <v>178</v>
      </c>
      <c r="D191" s="8" t="s">
        <v>2</v>
      </c>
      <c r="F191" s="14" t="s">
        <v>437</v>
      </c>
      <c r="L191" t="s">
        <v>708</v>
      </c>
      <c r="M191" s="5">
        <f>IF(O191&gt;0,O191,DATE(YEAR+1,January,1+7*_2nd_weekday_occurrence)-WEEKDAY(DATE(YEAR+1,January,8-Wednesday)))</f>
        <v>45665</v>
      </c>
      <c r="N191" s="41"/>
    </row>
    <row r="192" spans="2:14" ht="15" customHeight="1" x14ac:dyDescent="0.25">
      <c r="B192" s="4">
        <v>5</v>
      </c>
      <c r="C192" t="s">
        <v>178</v>
      </c>
      <c r="D192" s="8" t="s">
        <v>579</v>
      </c>
      <c r="E192" s="8" t="s">
        <v>225</v>
      </c>
      <c r="F192" s="14" t="s">
        <v>437</v>
      </c>
      <c r="L192" s="51" t="s">
        <v>708</v>
      </c>
      <c r="M192" s="55">
        <f>IF(O192&gt;0,O192,DATE(YEAR+1,January,1+7*_2nd_weekday_occurrence)-WEEKDAY(DATE(YEAR+1,January,8-Wednesday)))</f>
        <v>45665</v>
      </c>
      <c r="N192" s="41"/>
    </row>
    <row r="193" spans="2:14" ht="15" customHeight="1" x14ac:dyDescent="0.25">
      <c r="B193" s="4">
        <v>487</v>
      </c>
      <c r="C193" t="s">
        <v>46</v>
      </c>
      <c r="D193" s="8" t="s">
        <v>579</v>
      </c>
      <c r="F193" s="42" t="s">
        <v>437</v>
      </c>
      <c r="G193" s="26"/>
      <c r="H193" s="26"/>
      <c r="I193" s="26"/>
      <c r="J193" s="26"/>
      <c r="K193" s="26"/>
      <c r="L193" s="5" t="s">
        <v>710</v>
      </c>
      <c r="M193" s="55">
        <f>IF(O193&gt;0,O193,DATE(YEAR+1,January,1+7*_2nd_weekday_occurrence)-WEEKDAY(DATE(YEAR+1,January,8-Wednesday)))</f>
        <v>45665</v>
      </c>
      <c r="N193" s="41"/>
    </row>
    <row r="194" spans="2:14" ht="15" customHeight="1" x14ac:dyDescent="0.25">
      <c r="B194" s="4">
        <v>647</v>
      </c>
      <c r="C194" t="s">
        <v>4</v>
      </c>
      <c r="D194" s="8" t="s">
        <v>2</v>
      </c>
      <c r="E194" s="8" t="s">
        <v>225</v>
      </c>
      <c r="F194" s="42" t="s">
        <v>5</v>
      </c>
      <c r="G194" s="26"/>
      <c r="H194" s="26"/>
      <c r="I194" s="26"/>
      <c r="J194" s="26"/>
      <c r="K194" s="26"/>
      <c r="L194" t="s">
        <v>693</v>
      </c>
      <c r="M194" s="5">
        <f>IF(O194&gt;0,O194,DATE(YEAR+1,January,1+7*_2nd_weekday_occurrence)-WEEKDAY(DATE(YEAR+1,January,8-Thursday)))</f>
        <v>45666</v>
      </c>
      <c r="N194" s="41"/>
    </row>
    <row r="195" spans="2:14" ht="15" customHeight="1" x14ac:dyDescent="0.25">
      <c r="B195" s="4">
        <v>1313</v>
      </c>
      <c r="C195" t="s">
        <v>152</v>
      </c>
      <c r="D195" s="8" t="s">
        <v>2</v>
      </c>
      <c r="F195" s="14" t="s">
        <v>498</v>
      </c>
      <c r="G195" s="26"/>
      <c r="H195" s="26"/>
      <c r="I195" s="26"/>
      <c r="J195" s="26"/>
      <c r="K195" s="26"/>
      <c r="L195" s="26" t="s">
        <v>672</v>
      </c>
      <c r="M195" s="5">
        <f>IF(O195&gt;0,O195,DATE(YEAR+1,January,1+7*_2nd_weekday_occurrence)-WEEKDAY(DATE(YEAR+1,January,8-Thursday)))</f>
        <v>45666</v>
      </c>
      <c r="N195" s="41"/>
    </row>
    <row r="196" spans="2:14" ht="15" customHeight="1" x14ac:dyDescent="0.25">
      <c r="B196" s="4">
        <v>1313</v>
      </c>
      <c r="C196" t="s">
        <v>152</v>
      </c>
      <c r="D196" s="8" t="s">
        <v>579</v>
      </c>
      <c r="E196" s="8" t="s">
        <v>225</v>
      </c>
      <c r="F196" s="14" t="s">
        <v>498</v>
      </c>
      <c r="G196" s="26"/>
      <c r="H196" s="26"/>
      <c r="I196" s="26"/>
      <c r="J196" s="26"/>
      <c r="K196" s="26"/>
      <c r="L196" s="26" t="s">
        <v>672</v>
      </c>
      <c r="M196" s="55">
        <f>IF(O196&gt;0,O196,DATE(YEAR+1,January,1+7*_2nd_weekday_occurrence)-WEEKDAY(DATE(YEAR+1,January,8-Thursday)))</f>
        <v>45666</v>
      </c>
      <c r="N196" s="41"/>
    </row>
    <row r="197" spans="2:14" ht="15" customHeight="1" x14ac:dyDescent="0.25">
      <c r="B197" s="4">
        <v>1953</v>
      </c>
      <c r="C197" t="s">
        <v>148</v>
      </c>
      <c r="D197" s="8" t="s">
        <v>2</v>
      </c>
      <c r="F197" s="15" t="s">
        <v>515</v>
      </c>
      <c r="G197" s="26"/>
      <c r="H197" s="26"/>
      <c r="I197" s="26"/>
      <c r="J197" s="26"/>
      <c r="K197" s="26"/>
      <c r="L197" s="5" t="s">
        <v>693</v>
      </c>
      <c r="M197" s="5">
        <f>IF(O197&gt;0,O197,DATE(YEAR+1,January,1+7*_2nd_weekday_occurrence)-WEEKDAY(DATE(YEAR+1,January,8-Saturday)))</f>
        <v>45668</v>
      </c>
      <c r="N197" s="41"/>
    </row>
    <row r="198" spans="2:14" ht="15" customHeight="1" x14ac:dyDescent="0.25">
      <c r="B198" s="4">
        <v>2022</v>
      </c>
      <c r="C198" t="s">
        <v>163</v>
      </c>
      <c r="D198" s="8" t="s">
        <v>2</v>
      </c>
      <c r="F198" s="14" t="s">
        <v>515</v>
      </c>
      <c r="G198" s="26"/>
      <c r="H198" s="26"/>
      <c r="I198" s="26"/>
      <c r="J198" s="26"/>
      <c r="K198" s="26"/>
      <c r="L198" s="5" t="s">
        <v>710</v>
      </c>
      <c r="M198" s="5">
        <f>IF(O198&gt;0,O198,DATE(YEAR+1,January,1+7*_2nd_weekday_occurrence)-WEEKDAY(DATE(YEAR+1,January,8-Saturday)))</f>
        <v>45668</v>
      </c>
    </row>
    <row r="199" spans="2:14" ht="15" customHeight="1" x14ac:dyDescent="0.25">
      <c r="B199" s="4">
        <v>2022</v>
      </c>
      <c r="C199" t="s">
        <v>163</v>
      </c>
      <c r="D199" s="8" t="s">
        <v>579</v>
      </c>
      <c r="E199" s="8" t="s">
        <v>225</v>
      </c>
      <c r="F199" s="14" t="s">
        <v>515</v>
      </c>
      <c r="G199" s="26"/>
      <c r="H199" s="26"/>
      <c r="I199" s="26"/>
      <c r="J199" s="26"/>
      <c r="K199" s="26"/>
      <c r="L199" s="5" t="s">
        <v>710</v>
      </c>
      <c r="M199" s="55">
        <f>IF(O199&gt;0,O199,DATE(YEAR+1,January,1+7*_2nd_weekday_occurrence)-WEEKDAY(DATE(YEAR+1,January,8-Saturday)))</f>
        <v>45668</v>
      </c>
    </row>
    <row r="200" spans="2:14" ht="15" customHeight="1" x14ac:dyDescent="0.25">
      <c r="B200" s="4">
        <v>801</v>
      </c>
      <c r="C200" t="s">
        <v>6</v>
      </c>
      <c r="D200" s="8" t="s">
        <v>2</v>
      </c>
      <c r="E200" s="8" t="s">
        <v>225</v>
      </c>
      <c r="F200" s="42" t="s">
        <v>7</v>
      </c>
      <c r="G200" s="26"/>
      <c r="H200" s="26"/>
      <c r="I200" s="26"/>
      <c r="J200" s="26"/>
      <c r="K200" s="26"/>
      <c r="L200" s="42" t="s">
        <v>708</v>
      </c>
      <c r="M200" s="5">
        <f>IF(O200&gt;0,O200,DATE(YEAR+1,January,1+7*_2nd_weekday_occurrence)-WEEKDAY(DATE(YEAR+1,January,8-Monday)))</f>
        <v>45670</v>
      </c>
      <c r="N200" s="41"/>
    </row>
    <row r="201" spans="2:14" ht="15" customHeight="1" x14ac:dyDescent="0.25">
      <c r="B201" s="4">
        <v>801</v>
      </c>
      <c r="C201" t="s">
        <v>6</v>
      </c>
      <c r="D201" s="8" t="s">
        <v>579</v>
      </c>
      <c r="F201" s="42" t="s">
        <v>7</v>
      </c>
      <c r="G201" s="26"/>
      <c r="H201" s="26"/>
      <c r="I201" s="26"/>
      <c r="J201" s="26"/>
      <c r="K201" s="26"/>
      <c r="L201" s="42" t="s">
        <v>708</v>
      </c>
      <c r="M201" s="55">
        <f>IF(O201&gt;0,O201,DATE(YEAR+1,January,1+7*_2nd_weekday_occurrence)-WEEKDAY(DATE(YEAR+1,January,8-Monday)))</f>
        <v>45670</v>
      </c>
      <c r="N201" s="41"/>
    </row>
    <row r="202" spans="2:14" ht="15" customHeight="1" x14ac:dyDescent="0.25">
      <c r="B202" s="4">
        <v>239</v>
      </c>
      <c r="C202" t="s">
        <v>12</v>
      </c>
      <c r="D202" s="8" t="s">
        <v>2</v>
      </c>
      <c r="E202" s="8" t="s">
        <v>225</v>
      </c>
      <c r="F202" s="42" t="s">
        <v>13</v>
      </c>
      <c r="G202" s="26"/>
      <c r="H202" s="26"/>
      <c r="I202" s="26"/>
      <c r="J202" s="26"/>
      <c r="K202" s="26"/>
      <c r="L202" s="51" t="s">
        <v>673</v>
      </c>
      <c r="M202" s="44">
        <f>IF(O202&gt;0,O202,DATE(YEAR+1,January,1+7*_3rd_weekday_occurrence)-WEEKDAY(DATE(YEAR+1,January,8-Thursday)))</f>
        <v>45673</v>
      </c>
      <c r="N202" s="41"/>
    </row>
    <row r="203" spans="2:14" ht="15" customHeight="1" x14ac:dyDescent="0.25">
      <c r="B203" s="4">
        <v>239</v>
      </c>
      <c r="C203" t="s">
        <v>12</v>
      </c>
      <c r="D203" s="8" t="s">
        <v>579</v>
      </c>
      <c r="F203" s="42" t="s">
        <v>13</v>
      </c>
      <c r="G203" s="26"/>
      <c r="H203" s="26"/>
      <c r="I203" s="26"/>
      <c r="J203" s="26"/>
      <c r="K203" s="26"/>
      <c r="L203" s="51" t="s">
        <v>673</v>
      </c>
      <c r="M203" s="44">
        <f>IF(O203&gt;0,O203,DATE(YEAR+1,January,1+7*_3rd_weekday_occurrence)-WEEKDAY(DATE(YEAR+1,January,8-Thursday)))</f>
        <v>45673</v>
      </c>
      <c r="N203" s="41"/>
    </row>
    <row r="204" spans="2:14" ht="15" customHeight="1" x14ac:dyDescent="0.25">
      <c r="B204" s="4">
        <v>1118</v>
      </c>
      <c r="C204" t="s">
        <v>210</v>
      </c>
      <c r="D204" s="8" t="s">
        <v>2</v>
      </c>
      <c r="F204" s="14" t="s">
        <v>490</v>
      </c>
      <c r="G204" s="26"/>
      <c r="H204" s="26"/>
      <c r="I204" s="26"/>
      <c r="J204" s="26"/>
      <c r="K204" s="26"/>
      <c r="L204" t="s">
        <v>709</v>
      </c>
      <c r="M204" s="5">
        <f>IF(O204&gt;0,O204,DATE(YEAR+1,January,1+7*_3rd_weekday_occurrence)-WEEKDAY(DATE(YEAR+1,January,8-Thursday)))</f>
        <v>45673</v>
      </c>
      <c r="N204" s="41"/>
    </row>
    <row r="205" spans="2:14" ht="15" customHeight="1" x14ac:dyDescent="0.25">
      <c r="B205" s="4">
        <v>1118</v>
      </c>
      <c r="C205" t="s">
        <v>210</v>
      </c>
      <c r="D205" s="8" t="s">
        <v>579</v>
      </c>
      <c r="E205" s="8" t="s">
        <v>225</v>
      </c>
      <c r="F205" s="14" t="s">
        <v>490</v>
      </c>
      <c r="G205" s="26"/>
      <c r="H205" s="26"/>
      <c r="I205" s="26"/>
      <c r="J205" s="26"/>
      <c r="K205" s="26"/>
      <c r="L205" t="s">
        <v>709</v>
      </c>
      <c r="M205" s="55">
        <f>IF(O205&gt;0,O205,DATE(YEAR+1,January,1+7*_3rd_weekday_occurrence)-WEEKDAY(DATE(YEAR+1,January,8-Thursday)))</f>
        <v>45673</v>
      </c>
      <c r="N205" s="41"/>
    </row>
    <row r="206" spans="2:14" ht="15" customHeight="1" x14ac:dyDescent="0.25">
      <c r="B206" s="4">
        <v>399</v>
      </c>
      <c r="C206" t="s">
        <v>18</v>
      </c>
      <c r="D206" s="8" t="s">
        <v>2</v>
      </c>
      <c r="E206" s="8" t="s">
        <v>225</v>
      </c>
      <c r="F206" s="42" t="s">
        <v>19</v>
      </c>
      <c r="G206" s="26"/>
      <c r="H206" s="26"/>
      <c r="I206" s="26"/>
      <c r="J206" s="26"/>
      <c r="K206" s="26"/>
      <c r="L206" s="26" t="s">
        <v>672</v>
      </c>
      <c r="M206" s="5">
        <f>IF(O206&gt;0,O206,DATE(YEAR+1,January,1+7*_3rd_weekday_occurrence)-WEEKDAY(DATE(YEAR+1,January,8-Friday)))</f>
        <v>45674</v>
      </c>
      <c r="N206" s="41"/>
    </row>
    <row r="207" spans="2:14" ht="15" customHeight="1" x14ac:dyDescent="0.25">
      <c r="B207" s="4">
        <v>399</v>
      </c>
      <c r="C207" t="s">
        <v>18</v>
      </c>
      <c r="D207" s="8" t="s">
        <v>579</v>
      </c>
      <c r="E207" s="8" t="s">
        <v>225</v>
      </c>
      <c r="F207" s="42" t="s">
        <v>19</v>
      </c>
      <c r="G207" s="26"/>
      <c r="H207" s="26"/>
      <c r="I207" s="26"/>
      <c r="J207" s="26"/>
      <c r="K207" s="26"/>
      <c r="L207" s="26" t="s">
        <v>672</v>
      </c>
      <c r="M207" s="55">
        <f>IF(O207&gt;0,O207,DATE(YEAR+1,January,1+7*_3rd_weekday_occurrence)-WEEKDAY(DATE(YEAR+1,January,8-Friday)))</f>
        <v>45674</v>
      </c>
      <c r="N207" s="41"/>
    </row>
    <row r="208" spans="2:14" ht="15" customHeight="1" x14ac:dyDescent="0.25">
      <c r="B208" s="4">
        <v>1748</v>
      </c>
      <c r="C208" t="s">
        <v>23</v>
      </c>
      <c r="D208" s="8" t="s">
        <v>2</v>
      </c>
      <c r="E208" s="8" t="s">
        <v>225</v>
      </c>
      <c r="F208" s="42" t="s">
        <v>24</v>
      </c>
      <c r="G208" s="26"/>
      <c r="H208" s="26"/>
      <c r="I208" s="26"/>
      <c r="J208" s="26"/>
      <c r="K208" s="26"/>
      <c r="L208" s="42" t="s">
        <v>709</v>
      </c>
      <c r="M208" s="5">
        <f>IF(O208&gt;0,O208,DATE(YEAR+1,January,1+7*_3rd_weekday_occurrence)-WEEKDAY(DATE(YEAR+1,January,8-Tuesday)))</f>
        <v>45678</v>
      </c>
      <c r="N208" s="41"/>
    </row>
    <row r="209" spans="2:14" ht="15" customHeight="1" x14ac:dyDescent="0.25">
      <c r="B209" s="4">
        <v>1748</v>
      </c>
      <c r="C209" t="s">
        <v>23</v>
      </c>
      <c r="D209" s="8" t="s">
        <v>579</v>
      </c>
      <c r="F209" s="42" t="s">
        <v>24</v>
      </c>
      <c r="G209" s="26"/>
      <c r="H209" s="26"/>
      <c r="I209" s="26"/>
      <c r="J209" s="26"/>
      <c r="K209" s="26"/>
      <c r="L209" s="42" t="s">
        <v>709</v>
      </c>
      <c r="M209" s="55">
        <f>IF(O209&gt;0,O209,DATE(YEAR+1,January,1+7*_3rd_weekday_occurrence)-WEEKDAY(DATE(YEAR+1,January,8-Tuesday)))</f>
        <v>45678</v>
      </c>
      <c r="N209" s="41"/>
    </row>
    <row r="210" spans="2:14" ht="15" customHeight="1" x14ac:dyDescent="0.25">
      <c r="B210" s="4">
        <v>569</v>
      </c>
      <c r="C210" t="s">
        <v>99</v>
      </c>
      <c r="D210" s="8" t="s">
        <v>2</v>
      </c>
      <c r="F210" s="14" t="s">
        <v>467</v>
      </c>
      <c r="G210" s="26"/>
      <c r="H210" s="26"/>
      <c r="I210" s="26"/>
      <c r="J210" s="26"/>
      <c r="K210" s="26"/>
      <c r="L210" s="26" t="s">
        <v>672</v>
      </c>
      <c r="M210" s="5">
        <f>IF(O210&gt;0,O210,DATE(YEAR+1,January,1+7*_4th_weekday_occurrence)-WEEKDAY(DATE(YEAR+1,January,8-Thursday)))</f>
        <v>45680</v>
      </c>
      <c r="N210" s="41"/>
    </row>
    <row r="211" spans="2:14" ht="15" customHeight="1" x14ac:dyDescent="0.25">
      <c r="B211" s="4">
        <v>569</v>
      </c>
      <c r="C211" t="s">
        <v>99</v>
      </c>
      <c r="D211" s="8" t="s">
        <v>579</v>
      </c>
      <c r="E211" s="8" t="s">
        <v>225</v>
      </c>
      <c r="F211" s="14" t="s">
        <v>467</v>
      </c>
      <c r="G211" s="26"/>
      <c r="H211" s="26"/>
      <c r="I211" s="26"/>
      <c r="J211" s="26"/>
      <c r="K211" s="26"/>
      <c r="L211" s="26" t="s">
        <v>672</v>
      </c>
      <c r="M211" s="55">
        <f>IF(O211&gt;0,O211,DATE(YEAR+1,January,1+7*_4th_weekday_occurrence)-WEEKDAY(DATE(YEAR+1,January,8-Thursday)))</f>
        <v>45680</v>
      </c>
      <c r="N211" s="41"/>
    </row>
    <row r="212" spans="2:14" ht="15" customHeight="1" x14ac:dyDescent="0.25">
      <c r="B212" s="4">
        <v>828</v>
      </c>
      <c r="C212" t="s">
        <v>111</v>
      </c>
      <c r="D212" s="8" t="s">
        <v>2</v>
      </c>
      <c r="F212" s="14" t="s">
        <v>467</v>
      </c>
      <c r="G212" s="26"/>
      <c r="H212" s="26"/>
      <c r="I212" s="26"/>
      <c r="J212" s="26"/>
      <c r="K212" s="26"/>
      <c r="L212" t="s">
        <v>709</v>
      </c>
      <c r="M212" s="5">
        <f>IF(O212&gt;0,O212,DATE(YEAR+1,January,1+7*_4th_weekday_occurrence)-WEEKDAY(DATE(YEAR+1,January,8-Thursday)))</f>
        <v>45680</v>
      </c>
      <c r="N212" s="41"/>
    </row>
    <row r="213" spans="2:14" ht="15" customHeight="1" x14ac:dyDescent="0.25">
      <c r="B213" s="4">
        <v>828</v>
      </c>
      <c r="C213" t="s">
        <v>111</v>
      </c>
      <c r="D213" s="8" t="s">
        <v>579</v>
      </c>
      <c r="F213" s="14" t="s">
        <v>467</v>
      </c>
      <c r="G213" s="26"/>
      <c r="H213" s="26"/>
      <c r="I213" s="26"/>
      <c r="J213" s="26"/>
      <c r="K213" s="26"/>
      <c r="L213" t="s">
        <v>709</v>
      </c>
      <c r="M213" s="55">
        <f>IF(O213&gt;0,O213,DATE(YEAR+1,January,1+7*_4th_weekday_occurrence)-WEEKDAY(DATE(YEAR+1,January,8-Thursday)))</f>
        <v>45680</v>
      </c>
      <c r="N213" s="41"/>
    </row>
    <row r="214" spans="2:14" ht="15" customHeight="1" x14ac:dyDescent="0.25">
      <c r="B214" s="4">
        <v>8</v>
      </c>
      <c r="C214" t="s">
        <v>180</v>
      </c>
      <c r="D214" s="8" t="s">
        <v>2</v>
      </c>
      <c r="F214" s="15" t="s">
        <v>29</v>
      </c>
      <c r="L214" t="s">
        <v>693</v>
      </c>
      <c r="M214" s="5">
        <f>IF(O214&gt;0,O214,DATE(YEAR+1,January,1+7*_4th_weekday_occurrence)-WEEKDAY(DATE(YEAR+1,January,8-Friday)))</f>
        <v>45681</v>
      </c>
      <c r="N214" s="41"/>
    </row>
    <row r="215" spans="2:14" ht="15" customHeight="1" x14ac:dyDescent="0.25">
      <c r="B215" s="4">
        <v>8</v>
      </c>
      <c r="C215" t="s">
        <v>180</v>
      </c>
      <c r="D215" s="8" t="s">
        <v>579</v>
      </c>
      <c r="F215" s="15" t="s">
        <v>29</v>
      </c>
      <c r="L215" t="s">
        <v>693</v>
      </c>
      <c r="M215" s="55">
        <f>IF(O215&gt;0,O215,DATE(YEAR+1,January,1+7*_4th_weekday_occurrence)-WEEKDAY(DATE(YEAR+1,January,8-Friday)))</f>
        <v>45681</v>
      </c>
      <c r="N215" s="41"/>
    </row>
    <row r="216" spans="2:14" ht="15" customHeight="1" x14ac:dyDescent="0.25">
      <c r="B216" s="4">
        <v>1363</v>
      </c>
      <c r="C216" t="s">
        <v>28</v>
      </c>
      <c r="D216" s="8" t="s">
        <v>2</v>
      </c>
      <c r="E216" s="8" t="s">
        <v>225</v>
      </c>
      <c r="F216" s="42" t="s">
        <v>29</v>
      </c>
      <c r="G216" s="26"/>
      <c r="H216" s="26"/>
      <c r="I216" s="26"/>
      <c r="J216" s="26"/>
      <c r="K216" s="26"/>
      <c r="L216" s="5" t="s">
        <v>710</v>
      </c>
      <c r="M216" s="5">
        <f>IF(O216&gt;0,O216,DATE(YEAR+1,January,1+7*_4th_weekday_occurrence)-WEEKDAY(DATE(YEAR+1,January,8-Friday)))</f>
        <v>45681</v>
      </c>
      <c r="N216" s="41"/>
    </row>
    <row r="217" spans="2:14" ht="15" customHeight="1" x14ac:dyDescent="0.25">
      <c r="B217" s="4">
        <v>1363</v>
      </c>
      <c r="C217" t="s">
        <v>28</v>
      </c>
      <c r="D217" s="8" t="s">
        <v>579</v>
      </c>
      <c r="F217" s="42" t="s">
        <v>29</v>
      </c>
      <c r="G217" s="26"/>
      <c r="H217" s="26"/>
      <c r="I217" s="26"/>
      <c r="J217" s="26"/>
      <c r="K217" s="26"/>
      <c r="L217" s="5" t="s">
        <v>710</v>
      </c>
      <c r="M217" s="55">
        <f>IF(O217&gt;0,O217,DATE(YEAR+1,January,1+7*_4th_weekday_occurrence)-WEEKDAY(DATE(YEAR+1,January,8-Friday)))</f>
        <v>45681</v>
      </c>
      <c r="N217" s="41"/>
    </row>
    <row r="218" spans="2:14" ht="15" customHeight="1" x14ac:dyDescent="0.25">
      <c r="B218" s="4">
        <v>385</v>
      </c>
      <c r="C218" t="s">
        <v>33</v>
      </c>
      <c r="D218" s="8" t="s">
        <v>2</v>
      </c>
      <c r="E218" s="8" t="s">
        <v>225</v>
      </c>
      <c r="F218" s="42" t="s">
        <v>34</v>
      </c>
      <c r="G218" s="26"/>
      <c r="H218" s="26"/>
      <c r="I218" s="26"/>
      <c r="J218" s="26"/>
      <c r="K218" s="26"/>
      <c r="L218" t="s">
        <v>708</v>
      </c>
      <c r="M218" s="5">
        <f>IF(O218&gt;0,O218,DATE(YEAR+1,January,1+7*_4th_weekday_occurrence)-WEEKDAY(DATE(YEAR+1,January,8-Tuesday)))</f>
        <v>45685</v>
      </c>
      <c r="N218" s="41"/>
    </row>
    <row r="219" spans="2:14" ht="15" customHeight="1" x14ac:dyDescent="0.25">
      <c r="B219" s="4">
        <v>385</v>
      </c>
      <c r="C219" t="s">
        <v>33</v>
      </c>
      <c r="D219" s="8" t="s">
        <v>579</v>
      </c>
      <c r="F219" s="42" t="s">
        <v>34</v>
      </c>
      <c r="G219" s="26"/>
      <c r="H219" s="26"/>
      <c r="I219" s="26"/>
      <c r="J219" s="26"/>
      <c r="K219" s="26"/>
      <c r="L219" t="s">
        <v>708</v>
      </c>
      <c r="M219" s="55">
        <f>IF(O219&gt;0,O219,DATE(YEAR+1,January,1+7*_4th_weekday_occurrence)-WEEKDAY(DATE(YEAR+1,January,8-Tuesday)))</f>
        <v>45685</v>
      </c>
      <c r="N219" s="41"/>
    </row>
    <row r="220" spans="2:14" ht="15" customHeight="1" x14ac:dyDescent="0.25">
      <c r="B220" s="4">
        <v>742</v>
      </c>
      <c r="C220" t="s">
        <v>97</v>
      </c>
      <c r="D220" s="8" t="s">
        <v>2</v>
      </c>
      <c r="F220" s="14" t="s">
        <v>34</v>
      </c>
      <c r="G220" s="26"/>
      <c r="H220" s="26"/>
      <c r="I220" s="26"/>
      <c r="J220" s="26"/>
      <c r="K220" s="26"/>
      <c r="L220" s="42" t="s">
        <v>709</v>
      </c>
      <c r="M220" s="5">
        <f>IF(O220&gt;0,O220,DATE(YEAR+1,January,1+7*_4th_weekday_occurrence)-WEEKDAY(DATE(YEAR+1,January,8-Tuesday)))</f>
        <v>45685</v>
      </c>
      <c r="N220" s="41"/>
    </row>
    <row r="221" spans="2:14" ht="15" customHeight="1" x14ac:dyDescent="0.25">
      <c r="B221" s="4">
        <v>742</v>
      </c>
      <c r="C221" t="s">
        <v>97</v>
      </c>
      <c r="D221" s="8" t="s">
        <v>579</v>
      </c>
      <c r="F221" s="14" t="s">
        <v>34</v>
      </c>
      <c r="G221" s="26"/>
      <c r="H221" s="26"/>
      <c r="I221" s="26"/>
      <c r="J221" s="26"/>
      <c r="K221" s="26"/>
      <c r="L221" s="5" t="s">
        <v>709</v>
      </c>
      <c r="M221" s="55">
        <f>IF(O221&gt;0,O221,DATE(YEAR+1,January,1+7*_4th_weekday_occurrence)-WEEKDAY(DATE(YEAR+1,January,8-Tuesday)))</f>
        <v>45685</v>
      </c>
      <c r="N221" s="41"/>
    </row>
    <row r="222" spans="2:14" ht="15" customHeight="1" x14ac:dyDescent="0.25">
      <c r="B222" s="4">
        <v>104</v>
      </c>
      <c r="C222" t="s">
        <v>195</v>
      </c>
      <c r="D222" s="8" t="s">
        <v>2</v>
      </c>
      <c r="F222" t="s">
        <v>533</v>
      </c>
      <c r="G222" s="5">
        <f>DATE(YEAR+1,January,1+7*_5th_weekday_occurrence)-WEEKDAY(DATE(YEAR+1,January,8-Monday))</f>
        <v>45691</v>
      </c>
      <c r="H222" s="5">
        <f>DATE(YEAR+1,January,1+7*_5th_weekday_occurrence)-WEEKDAY(DATE(YEAR+1,January,8-Tuesday))</f>
        <v>45692</v>
      </c>
      <c r="I222" s="5">
        <f>DATE(YEAR+1,January,1+7*_5th_weekday_occurrence)-WEEKDAY(DATE(YEAR+1,January,8-Wednesday))</f>
        <v>45686</v>
      </c>
      <c r="J222" s="5">
        <f>DATE(YEAR+1,January,1+7*_5th_weekday_occurrence)-WEEKDAY(DATE(YEAR+1,January,8-Thursday))</f>
        <v>45687</v>
      </c>
      <c r="K222" s="5">
        <f>DATE(YEAR+1,January,1+7*_5th_weekday_occurrence)-WEEKDAY(DATE(YEAR+1,January,8-Friday))</f>
        <v>45688</v>
      </c>
      <c r="L222" s="5" t="s">
        <v>710</v>
      </c>
      <c r="M222" s="5">
        <f>IF(O222&gt;0,O222,SMALL(G222:K222,COUNTIF(G222:K222,0)+1))</f>
        <v>45686</v>
      </c>
      <c r="N222" s="41"/>
    </row>
    <row r="223" spans="2:14" ht="15" customHeight="1" x14ac:dyDescent="0.25">
      <c r="B223" s="4">
        <v>104</v>
      </c>
      <c r="C223" t="s">
        <v>195</v>
      </c>
      <c r="D223" s="8" t="s">
        <v>579</v>
      </c>
      <c r="F223" t="s">
        <v>533</v>
      </c>
      <c r="G223" s="5">
        <f>DATE(YEAR+1,January,1+7*_5th_weekday_occurrence)-WEEKDAY(DATE(YEAR+1,January,8-Monday))</f>
        <v>45691</v>
      </c>
      <c r="H223" s="5">
        <f>DATE(YEAR+1,January,1+7*_5th_weekday_occurrence)-WEEKDAY(DATE(YEAR+1,January,8-Tuesday))</f>
        <v>45692</v>
      </c>
      <c r="I223" s="5">
        <f>DATE(YEAR+1,January,1+7*_5th_weekday_occurrence)-WEEKDAY(DATE(YEAR+1,January,8-Wednesday))</f>
        <v>45686</v>
      </c>
      <c r="J223" s="5">
        <f>DATE(YEAR+1,January,1+7*_5th_weekday_occurrence)-WEEKDAY(DATE(YEAR+1,January,8-Thursday))</f>
        <v>45687</v>
      </c>
      <c r="K223" s="5">
        <f>DATE(YEAR+1,January,1+7*_5th_weekday_occurrence)-WEEKDAY(DATE(YEAR+1,January,8-Friday))</f>
        <v>45688</v>
      </c>
      <c r="L223" s="5" t="s">
        <v>710</v>
      </c>
      <c r="M223" s="55">
        <f>IF(O223&gt;0,O223,SMALL(G223:K223,COUNTIF(G223:K223,0)+1))</f>
        <v>45686</v>
      </c>
      <c r="N223" s="41"/>
    </row>
    <row r="224" spans="2:14" ht="15" customHeight="1" x14ac:dyDescent="0.25">
      <c r="B224" s="4">
        <v>176</v>
      </c>
      <c r="C224" t="s">
        <v>188</v>
      </c>
      <c r="D224" s="8" t="s">
        <v>2</v>
      </c>
      <c r="F224" s="14" t="s">
        <v>445</v>
      </c>
      <c r="G224" s="26"/>
      <c r="H224" s="26"/>
      <c r="I224" s="26"/>
      <c r="J224" s="26"/>
      <c r="K224" s="26"/>
      <c r="L224" s="5" t="s">
        <v>709</v>
      </c>
      <c r="M224" s="44">
        <f>IF(O224&gt;0,O224,DATE(YEAR+1,February,1+7*_1st_weekday_occurrence)-WEEKDAY(DATE(YEAR+1,February,8-Saturday)))</f>
        <v>45689</v>
      </c>
      <c r="N224" s="41"/>
    </row>
    <row r="225" spans="2:14" ht="15" customHeight="1" x14ac:dyDescent="0.25">
      <c r="B225" s="4">
        <v>176</v>
      </c>
      <c r="C225" t="s">
        <v>188</v>
      </c>
      <c r="D225" s="8" t="s">
        <v>579</v>
      </c>
      <c r="E225" s="8" t="s">
        <v>225</v>
      </c>
      <c r="F225" s="14" t="s">
        <v>445</v>
      </c>
      <c r="G225" s="26"/>
      <c r="H225" s="26"/>
      <c r="I225" s="26"/>
      <c r="J225" s="26"/>
      <c r="K225" s="26"/>
      <c r="L225" s="5" t="s">
        <v>709</v>
      </c>
      <c r="M225" s="44">
        <f>IF(O225&gt;0,O225,DATE(YEAR+1,February,1+7*_1st_weekday_occurrence)-WEEKDAY(DATE(YEAR+1,February,8-Saturday)))</f>
        <v>45689</v>
      </c>
      <c r="N225" s="41"/>
    </row>
    <row r="226" spans="2:14" ht="15" customHeight="1" x14ac:dyDescent="0.25">
      <c r="B226" s="4">
        <v>4</v>
      </c>
      <c r="C226" t="s">
        <v>123</v>
      </c>
      <c r="D226" s="8" t="s">
        <v>2</v>
      </c>
      <c r="F226" s="14" t="s">
        <v>435</v>
      </c>
      <c r="L226" t="s">
        <v>708</v>
      </c>
      <c r="M226" s="5">
        <f>IF(O226&gt;0,O226,DATE(YEAR+1,February,1+7*_1st_weekday_occurrence)-WEEKDAY(DATE(YEAR+1,February,8-Monday)))</f>
        <v>45691</v>
      </c>
      <c r="N226" s="41"/>
    </row>
    <row r="227" spans="2:14" ht="15" customHeight="1" x14ac:dyDescent="0.25">
      <c r="B227" s="4">
        <v>4</v>
      </c>
      <c r="C227" t="s">
        <v>123</v>
      </c>
      <c r="D227" s="8" t="s">
        <v>579</v>
      </c>
      <c r="E227" s="8" t="s">
        <v>225</v>
      </c>
      <c r="F227" s="14" t="s">
        <v>435</v>
      </c>
      <c r="L227" t="s">
        <v>708</v>
      </c>
      <c r="M227" s="55">
        <f>IF(O227&gt;0,O227,DATE(YEAR+1,February,1+7*_1st_weekday_occurrence)-WEEKDAY(DATE(YEAR+1,February,8-Monday)))</f>
        <v>45691</v>
      </c>
      <c r="N227" s="41"/>
    </row>
    <row r="228" spans="2:14" ht="15" customHeight="1" x14ac:dyDescent="0.25">
      <c r="B228" s="4">
        <v>1074</v>
      </c>
      <c r="C228" t="s">
        <v>109</v>
      </c>
      <c r="D228" s="8" t="s">
        <v>2</v>
      </c>
      <c r="F228" s="15" t="s">
        <v>487</v>
      </c>
      <c r="G228" s="26"/>
      <c r="H228" s="26"/>
      <c r="I228" s="26"/>
      <c r="J228" s="26"/>
      <c r="K228" s="26"/>
      <c r="L228" t="s">
        <v>693</v>
      </c>
      <c r="M228" s="5">
        <f>IF(O228&gt;0,O228,DATE(YEAR+1,February,1+7*_1st_weekday_occurrence)-WEEKDAY(DATE(YEAR+1,February,8-Wednesday)))</f>
        <v>45693</v>
      </c>
      <c r="N228" s="41"/>
    </row>
    <row r="229" spans="2:14" ht="15" customHeight="1" x14ac:dyDescent="0.25">
      <c r="B229" s="4">
        <v>1074</v>
      </c>
      <c r="C229" t="s">
        <v>109</v>
      </c>
      <c r="D229" s="8" t="s">
        <v>579</v>
      </c>
      <c r="E229" s="8" t="s">
        <v>225</v>
      </c>
      <c r="F229" s="15" t="s">
        <v>487</v>
      </c>
      <c r="G229" s="26"/>
      <c r="H229" s="26"/>
      <c r="I229" s="26"/>
      <c r="J229" s="26"/>
      <c r="K229" s="26"/>
      <c r="L229" t="s">
        <v>693</v>
      </c>
      <c r="M229" s="55">
        <f>IF(O229&gt;0,O229,DATE(YEAR+1,February,1+7*_1st_weekday_occurrence)-WEEKDAY(DATE(YEAR+1,February,8-Wednesday)))</f>
        <v>45693</v>
      </c>
      <c r="N229" s="41"/>
    </row>
    <row r="230" spans="2:14" ht="15" customHeight="1" x14ac:dyDescent="0.25">
      <c r="B230" s="4">
        <v>315</v>
      </c>
      <c r="C230" t="s">
        <v>197</v>
      </c>
      <c r="D230" s="8" t="s">
        <v>2</v>
      </c>
      <c r="F230" s="14" t="s">
        <v>39</v>
      </c>
      <c r="G230" s="26"/>
      <c r="H230" s="26"/>
      <c r="I230" s="26"/>
      <c r="J230" s="26"/>
      <c r="K230" s="26"/>
      <c r="L230" t="s">
        <v>708</v>
      </c>
      <c r="M230" s="44">
        <f>IF(O230&gt;0,O230,DATE(YEAR+1,February,1+7*_1st_weekday_occurrence)-WEEKDAY(DATE(YEAR+1,February,8-Friday)))</f>
        <v>45695</v>
      </c>
      <c r="N230" s="41"/>
    </row>
    <row r="231" spans="2:14" ht="15" customHeight="1" x14ac:dyDescent="0.25">
      <c r="B231" s="4">
        <v>315</v>
      </c>
      <c r="C231" t="s">
        <v>197</v>
      </c>
      <c r="D231" s="8" t="s">
        <v>579</v>
      </c>
      <c r="E231" s="8" t="s">
        <v>225</v>
      </c>
      <c r="F231" s="14" t="s">
        <v>39</v>
      </c>
      <c r="G231" s="26"/>
      <c r="H231" s="26"/>
      <c r="I231" s="26"/>
      <c r="J231" s="26"/>
      <c r="K231" s="26"/>
      <c r="L231" s="5" t="s">
        <v>708</v>
      </c>
      <c r="M231" s="44">
        <f>IF(O231&gt;0,O231,DATE(YEAR+1,February,1+7*_1st_weekday_occurrence)-WEEKDAY(DATE(YEAR+1,February,8-Friday)))</f>
        <v>45695</v>
      </c>
      <c r="N231" s="41"/>
    </row>
    <row r="232" spans="2:14" ht="15" customHeight="1" x14ac:dyDescent="0.25">
      <c r="B232" s="4">
        <v>577</v>
      </c>
      <c r="C232" t="s">
        <v>38</v>
      </c>
      <c r="D232" s="8" t="s">
        <v>2</v>
      </c>
      <c r="E232" s="8" t="s">
        <v>225</v>
      </c>
      <c r="F232" s="42" t="s">
        <v>39</v>
      </c>
      <c r="G232" s="26"/>
      <c r="H232" s="26"/>
      <c r="I232" s="26"/>
      <c r="J232" s="26"/>
      <c r="K232" s="26"/>
      <c r="L232" t="s">
        <v>709</v>
      </c>
      <c r="M232" s="5">
        <f>IF(O232&gt;0,O232,DATE(YEAR+1,February,1+7*_1st_weekday_occurrence)-WEEKDAY(DATE(YEAR+1,February,8-Friday)))</f>
        <v>45695</v>
      </c>
      <c r="N232" s="41"/>
    </row>
    <row r="233" spans="2:14" ht="15" customHeight="1" x14ac:dyDescent="0.25">
      <c r="B233" s="4">
        <v>577</v>
      </c>
      <c r="C233" t="s">
        <v>38</v>
      </c>
      <c r="D233" s="8" t="s">
        <v>579</v>
      </c>
      <c r="F233" s="42" t="s">
        <v>39</v>
      </c>
      <c r="G233" s="26"/>
      <c r="H233" s="26"/>
      <c r="I233" s="26"/>
      <c r="J233" s="26"/>
      <c r="K233" s="26"/>
      <c r="L233" s="5" t="s">
        <v>709</v>
      </c>
      <c r="M233" s="55">
        <f>IF(O233&gt;0,O233,DATE(YEAR+1,February,1+7*_1st_weekday_occurrence)-WEEKDAY(DATE(YEAR+1,February,8-Friday)))</f>
        <v>45695</v>
      </c>
      <c r="N233" s="41"/>
    </row>
    <row r="234" spans="2:14" ht="15" customHeight="1" x14ac:dyDescent="0.25">
      <c r="B234" s="4">
        <v>616</v>
      </c>
      <c r="C234" t="s">
        <v>42</v>
      </c>
      <c r="D234" s="8" t="s">
        <v>2</v>
      </c>
      <c r="E234" s="8" t="s">
        <v>225</v>
      </c>
      <c r="F234" s="42" t="s">
        <v>43</v>
      </c>
      <c r="G234" s="26"/>
      <c r="H234" s="26"/>
      <c r="I234" s="26"/>
      <c r="J234" s="26"/>
      <c r="K234" s="26"/>
      <c r="L234" s="51" t="s">
        <v>673</v>
      </c>
      <c r="M234" s="5">
        <f>IF(O234&gt;0,O234,DATE(YEAR+1,February,1+7*_2nd_weekday_occurrence)-WEEKDAY(DATE(YEAR+1,February,8-Saturday)))</f>
        <v>45696</v>
      </c>
      <c r="N234" s="41"/>
    </row>
    <row r="235" spans="2:14" ht="15" customHeight="1" x14ac:dyDescent="0.25">
      <c r="B235" s="4">
        <v>616</v>
      </c>
      <c r="C235" t="s">
        <v>42</v>
      </c>
      <c r="D235" s="8" t="s">
        <v>579</v>
      </c>
      <c r="F235" s="42" t="s">
        <v>43</v>
      </c>
      <c r="G235" s="26"/>
      <c r="H235" s="26"/>
      <c r="I235" s="26"/>
      <c r="J235" s="26"/>
      <c r="K235" s="26"/>
      <c r="L235" s="51" t="s">
        <v>673</v>
      </c>
      <c r="M235" s="55">
        <f>IF(O235&gt;0,O235,DATE(YEAR+1,February,1+7*_2nd_weekday_occurrence)-WEEKDAY(DATE(YEAR+1,February,8-Saturday)))</f>
        <v>45696</v>
      </c>
      <c r="N235" s="41"/>
    </row>
    <row r="236" spans="2:14" ht="15" customHeight="1" x14ac:dyDescent="0.25">
      <c r="B236" s="4">
        <v>1997</v>
      </c>
      <c r="C236" t="s">
        <v>676</v>
      </c>
      <c r="D236" s="8" t="s">
        <v>2</v>
      </c>
      <c r="F236" s="15" t="s">
        <v>43</v>
      </c>
      <c r="G236" s="26"/>
      <c r="H236" s="26"/>
      <c r="I236" s="26"/>
      <c r="J236" s="26"/>
      <c r="K236" s="26"/>
      <c r="L236" t="s">
        <v>708</v>
      </c>
      <c r="M236" s="5">
        <f>IF(O236&gt;0,O236,DATE(YEAR+1,February,1+7*_2nd_weekday_occurrence)-WEEKDAY(DATE(YEAR+1,February,8-Saturday)))</f>
        <v>45696</v>
      </c>
    </row>
    <row r="237" spans="2:14" ht="15" customHeight="1" x14ac:dyDescent="0.25">
      <c r="B237" s="4">
        <v>1997</v>
      </c>
      <c r="C237" t="s">
        <v>676</v>
      </c>
      <c r="D237" s="8" t="s">
        <v>579</v>
      </c>
      <c r="E237" s="8" t="s">
        <v>225</v>
      </c>
      <c r="F237" s="54" t="s">
        <v>43</v>
      </c>
      <c r="L237" s="51" t="s">
        <v>708</v>
      </c>
      <c r="M237" s="55">
        <f>IF(O237&gt;0,O237,DATE(YEAR+1,February,1+7*_2nd_weekday_occurrence)-WEEKDAY(DATE(YEAR+1,February,8-Saturday)))</f>
        <v>45696</v>
      </c>
    </row>
    <row r="238" spans="2:14" ht="15" customHeight="1" x14ac:dyDescent="0.25">
      <c r="B238" s="4">
        <v>487</v>
      </c>
      <c r="C238" t="s">
        <v>46</v>
      </c>
      <c r="D238" s="8" t="s">
        <v>2</v>
      </c>
      <c r="E238" s="8" t="s">
        <v>225</v>
      </c>
      <c r="F238" s="42" t="s">
        <v>47</v>
      </c>
      <c r="G238" s="26"/>
      <c r="H238" s="26"/>
      <c r="I238" s="26"/>
      <c r="J238" s="26"/>
      <c r="K238" s="26"/>
      <c r="L238" t="s">
        <v>710</v>
      </c>
      <c r="M238" s="5">
        <f>IF(O238&gt;0,O238,DATE(YEAR+1,February,1+7*_2nd_weekday_occurrence)-WEEKDAY(DATE(YEAR+1,February,8-Monday)))</f>
        <v>45698</v>
      </c>
      <c r="N238" s="41"/>
    </row>
    <row r="239" spans="2:14" ht="15" customHeight="1" x14ac:dyDescent="0.25">
      <c r="B239" s="4">
        <v>489</v>
      </c>
      <c r="C239" t="s">
        <v>202</v>
      </c>
      <c r="D239" s="8" t="s">
        <v>2</v>
      </c>
      <c r="F239" s="15" t="s">
        <v>465</v>
      </c>
      <c r="G239" s="26"/>
      <c r="H239" s="26"/>
      <c r="I239" s="26"/>
      <c r="J239" s="26"/>
      <c r="K239" s="26"/>
      <c r="L239" t="s">
        <v>708</v>
      </c>
      <c r="M239" s="5">
        <f>IF(O239&gt;0,O239,DATE(YEAR+1,February,1+7*_2nd_weekday_occurrence)-WEEKDAY(DATE(YEAR+1,February,8-Tuesday)))</f>
        <v>45699</v>
      </c>
      <c r="N239" s="41"/>
    </row>
    <row r="240" spans="2:14" ht="15" customHeight="1" x14ac:dyDescent="0.25">
      <c r="B240" s="4">
        <v>489</v>
      </c>
      <c r="C240" t="s">
        <v>202</v>
      </c>
      <c r="D240" s="8" t="s">
        <v>579</v>
      </c>
      <c r="E240" s="8" t="s">
        <v>225</v>
      </c>
      <c r="F240" s="15" t="s">
        <v>465</v>
      </c>
      <c r="G240" s="26"/>
      <c r="H240" s="26"/>
      <c r="I240" s="26"/>
      <c r="J240" s="26"/>
      <c r="K240" s="26"/>
      <c r="L240" t="s">
        <v>708</v>
      </c>
      <c r="M240" s="55">
        <f>IF(O240&gt;0,O240,DATE(YEAR+1,February,1+7*_2nd_weekday_occurrence)-WEEKDAY(DATE(YEAR+1,February,8-Tuesday)))</f>
        <v>45699</v>
      </c>
      <c r="N240" s="41"/>
    </row>
    <row r="241" spans="2:14" ht="15" customHeight="1" x14ac:dyDescent="0.25">
      <c r="B241" s="4">
        <v>224</v>
      </c>
      <c r="C241" t="s">
        <v>49</v>
      </c>
      <c r="D241" s="8" t="s">
        <v>2</v>
      </c>
      <c r="E241" s="8" t="s">
        <v>225</v>
      </c>
      <c r="F241" s="42" t="s">
        <v>50</v>
      </c>
      <c r="G241" s="26"/>
      <c r="H241" s="26"/>
      <c r="I241" s="26"/>
      <c r="J241" s="26"/>
      <c r="K241" s="26"/>
      <c r="L241" t="s">
        <v>693</v>
      </c>
      <c r="M241" s="44">
        <f>IF(O241&gt;0,O241,DATE(YEAR+1,February,1+7*_2nd_weekday_occurrence)-WEEKDAY(DATE(YEAR+1,February,8-Wednesday)))</f>
        <v>45700</v>
      </c>
      <c r="N241" s="41"/>
    </row>
    <row r="242" spans="2:14" ht="15" customHeight="1" x14ac:dyDescent="0.25">
      <c r="B242" s="4">
        <v>791</v>
      </c>
      <c r="C242" t="s">
        <v>129</v>
      </c>
      <c r="D242" s="8" t="s">
        <v>2</v>
      </c>
      <c r="F242" s="15" t="s">
        <v>50</v>
      </c>
      <c r="G242" s="26"/>
      <c r="H242" s="26"/>
      <c r="I242" s="26"/>
      <c r="J242" s="26"/>
      <c r="K242" s="26"/>
      <c r="L242" t="s">
        <v>709</v>
      </c>
      <c r="M242" s="44">
        <f>IF(O242&gt;0,O242,DATE(YEAR+1,February,1+7*_2nd_weekday_occurrence)-WEEKDAY(DATE(YEAR+1,February,8-Wednesday)))</f>
        <v>45700</v>
      </c>
      <c r="N242" s="41"/>
    </row>
    <row r="243" spans="2:14" ht="15" customHeight="1" x14ac:dyDescent="0.25">
      <c r="B243" s="4">
        <v>791</v>
      </c>
      <c r="C243" t="s">
        <v>129</v>
      </c>
      <c r="D243" s="8" t="s">
        <v>579</v>
      </c>
      <c r="E243" s="8" t="s">
        <v>225</v>
      </c>
      <c r="F243" s="15" t="s">
        <v>50</v>
      </c>
      <c r="G243" s="26"/>
      <c r="H243" s="26"/>
      <c r="I243" s="26"/>
      <c r="J243" s="26"/>
      <c r="K243" s="26"/>
      <c r="L243" t="s">
        <v>709</v>
      </c>
      <c r="M243" s="44">
        <f>IF(O243&gt;0,O243,DATE(YEAR+1,February,1+7*_2nd_weekday_occurrence)-WEEKDAY(DATE(YEAR+1,February,8-Wednesday)))</f>
        <v>45700</v>
      </c>
      <c r="N243" s="41"/>
    </row>
    <row r="244" spans="2:14" ht="15" customHeight="1" x14ac:dyDescent="0.25">
      <c r="B244" s="4">
        <v>2013</v>
      </c>
      <c r="C244" t="s">
        <v>196</v>
      </c>
      <c r="D244" s="8" t="s">
        <v>2</v>
      </c>
      <c r="F244" t="s">
        <v>50</v>
      </c>
      <c r="L244" s="51" t="s">
        <v>673</v>
      </c>
      <c r="M244" s="44">
        <f>IF(O244&gt;0,O244,DATE(YEAR+1,February,1+7*_2nd_weekday_occurrence)-WEEKDAY(DATE(YEAR+1,February,8-Wednesday)))</f>
        <v>45700</v>
      </c>
    </row>
    <row r="245" spans="2:14" ht="15" customHeight="1" x14ac:dyDescent="0.25">
      <c r="B245" s="4">
        <v>2013</v>
      </c>
      <c r="C245" t="s">
        <v>196</v>
      </c>
      <c r="D245" s="8" t="s">
        <v>579</v>
      </c>
      <c r="E245" s="8" t="s">
        <v>225</v>
      </c>
      <c r="F245" t="s">
        <v>50</v>
      </c>
      <c r="L245" s="51" t="s">
        <v>673</v>
      </c>
      <c r="M245" s="44">
        <f>IF(O245&gt;0,O245,DATE(YEAR+1,February,1+7*_2nd_weekday_occurrence)-WEEKDAY(DATE(YEAR+1,February,8-Wednesday)))</f>
        <v>45700</v>
      </c>
    </row>
    <row r="246" spans="2:14" ht="15" customHeight="1" x14ac:dyDescent="0.25">
      <c r="B246" s="4">
        <v>107</v>
      </c>
      <c r="C246" t="s">
        <v>52</v>
      </c>
      <c r="D246" s="8" t="s">
        <v>2</v>
      </c>
      <c r="E246" s="8" t="s">
        <v>225</v>
      </c>
      <c r="F246" s="42" t="s">
        <v>53</v>
      </c>
      <c r="G246" s="26"/>
      <c r="H246" s="26"/>
      <c r="I246" s="26"/>
      <c r="J246" s="26"/>
      <c r="K246" s="26"/>
      <c r="L246" t="s">
        <v>708</v>
      </c>
      <c r="M246" s="44">
        <f>IF(O246&gt;0,O246,DATE(YEAR+1,February,1+7*_2nd_weekday_occurrence)-WEEKDAY(DATE(YEAR+1,February,8-Thursday)))</f>
        <v>45701</v>
      </c>
      <c r="N246" s="41"/>
    </row>
    <row r="247" spans="2:14" ht="15" customHeight="1" x14ac:dyDescent="0.25">
      <c r="B247" s="4">
        <v>107</v>
      </c>
      <c r="C247" t="s">
        <v>581</v>
      </c>
      <c r="D247" s="8" t="s">
        <v>579</v>
      </c>
      <c r="F247" s="42" t="s">
        <v>53</v>
      </c>
      <c r="G247" s="26"/>
      <c r="H247" s="26"/>
      <c r="I247" s="26"/>
      <c r="J247" s="26"/>
      <c r="K247" s="26"/>
      <c r="L247" t="s">
        <v>708</v>
      </c>
      <c r="M247" s="44">
        <f>IF(O247&gt;0,O247,DATE(YEAR+1,February,1+7*_2nd_weekday_occurrence)-WEEKDAY(DATE(YEAR+1,February,8-Thursday)))</f>
        <v>45701</v>
      </c>
      <c r="N247" s="41"/>
    </row>
    <row r="248" spans="2:14" ht="15" customHeight="1" x14ac:dyDescent="0.25">
      <c r="B248" s="4">
        <v>1389</v>
      </c>
      <c r="C248" t="s">
        <v>218</v>
      </c>
      <c r="D248" s="8" t="s">
        <v>2</v>
      </c>
      <c r="F248" s="14" t="s">
        <v>499</v>
      </c>
      <c r="G248" s="26"/>
      <c r="H248" s="26"/>
      <c r="I248" s="26"/>
      <c r="J248" s="26"/>
      <c r="K248" s="26"/>
      <c r="L248" s="42" t="s">
        <v>709</v>
      </c>
      <c r="M248" s="5">
        <f>IF(O248&gt;0,O248,DATE(YEAR+1,February,1+7*_2nd_weekday_occurrence)-WEEKDAY(DATE(YEAR+1,February,8-Thursday)))</f>
        <v>45701</v>
      </c>
      <c r="N248" s="41"/>
    </row>
    <row r="249" spans="2:14" ht="15" customHeight="1" x14ac:dyDescent="0.25">
      <c r="B249" s="4">
        <v>1389</v>
      </c>
      <c r="C249" t="s">
        <v>218</v>
      </c>
      <c r="D249" s="8" t="s">
        <v>579</v>
      </c>
      <c r="E249" s="8" t="s">
        <v>225</v>
      </c>
      <c r="F249" s="14" t="s">
        <v>499</v>
      </c>
      <c r="G249" s="26"/>
      <c r="H249" s="26"/>
      <c r="I249" s="26"/>
      <c r="J249" s="26"/>
      <c r="K249" s="26"/>
      <c r="L249" s="42" t="s">
        <v>709</v>
      </c>
      <c r="M249" s="55">
        <f>IF(O249&gt;0,O249,DATE(YEAR+1,February,1+7*_2nd_weekday_occurrence)-WEEKDAY(DATE(YEAR+1,February,8-Thursday)))</f>
        <v>45701</v>
      </c>
      <c r="N249" s="41"/>
    </row>
    <row r="250" spans="2:14" ht="15" customHeight="1" x14ac:dyDescent="0.25">
      <c r="B250" s="4">
        <v>1091</v>
      </c>
      <c r="C250" t="s">
        <v>55</v>
      </c>
      <c r="D250" s="8" t="s">
        <v>2</v>
      </c>
      <c r="E250" s="8" t="s">
        <v>225</v>
      </c>
      <c r="F250" s="42" t="s">
        <v>56</v>
      </c>
      <c r="G250" s="26"/>
      <c r="H250" s="26"/>
      <c r="I250" s="26"/>
      <c r="J250" s="26"/>
      <c r="K250" s="26"/>
      <c r="L250" s="42" t="s">
        <v>710</v>
      </c>
      <c r="M250" s="5">
        <f>IF(O250&gt;0,O250,DATE(YEAR+1,February,1+7*_2nd_weekday_occurrence)-WEEKDAY(DATE(YEAR+1,February,8-Friday)))</f>
        <v>45702</v>
      </c>
      <c r="N250" s="41"/>
    </row>
    <row r="251" spans="2:14" ht="15" customHeight="1" x14ac:dyDescent="0.25">
      <c r="B251" s="4">
        <v>1091</v>
      </c>
      <c r="C251" t="s">
        <v>55</v>
      </c>
      <c r="D251" s="8" t="s">
        <v>579</v>
      </c>
      <c r="F251" s="42" t="s">
        <v>56</v>
      </c>
      <c r="G251" s="26"/>
      <c r="H251" s="26"/>
      <c r="I251" s="26"/>
      <c r="J251" s="26"/>
      <c r="K251" s="26"/>
      <c r="L251" s="42" t="s">
        <v>710</v>
      </c>
      <c r="M251" s="55">
        <f>IF(O251&gt;0,O251,DATE(YEAR+1,February,1+7*_2nd_weekday_occurrence)-WEEKDAY(DATE(YEAR+1,February,8-Friday)))</f>
        <v>45702</v>
      </c>
      <c r="N251" s="41"/>
    </row>
    <row r="252" spans="2:14" ht="15" customHeight="1" x14ac:dyDescent="0.25">
      <c r="B252" s="4">
        <v>2014</v>
      </c>
      <c r="C252" t="s">
        <v>201</v>
      </c>
      <c r="D252" s="8" t="s">
        <v>2</v>
      </c>
      <c r="F252" s="14" t="s">
        <v>56</v>
      </c>
      <c r="G252" s="26"/>
      <c r="H252" s="26"/>
      <c r="I252" s="26"/>
      <c r="J252" s="26"/>
      <c r="K252" s="26"/>
      <c r="L252" s="5" t="s">
        <v>709</v>
      </c>
      <c r="M252" s="5">
        <f>IF(O252&gt;0,O252,DATE(YEAR+1,February,1+7*_2nd_weekday_occurrence)-WEEKDAY(DATE(YEAR+1,February,8-Friday)))</f>
        <v>45702</v>
      </c>
    </row>
    <row r="253" spans="2:14" ht="15" customHeight="1" x14ac:dyDescent="0.25">
      <c r="B253" s="4">
        <v>1984</v>
      </c>
      <c r="C253" t="s">
        <v>199</v>
      </c>
      <c r="D253" s="8" t="s">
        <v>2</v>
      </c>
      <c r="F253" s="14" t="s">
        <v>59</v>
      </c>
      <c r="G253" s="26"/>
      <c r="H253" s="26"/>
      <c r="I253" s="26"/>
      <c r="J253" s="26"/>
      <c r="K253" s="26"/>
      <c r="L253" s="51" t="s">
        <v>673</v>
      </c>
      <c r="M253" s="5">
        <f>IF(O253&gt;0,O253,DATE(YEAR+1,February,1+7*_3rd_weekday_occurrence)-WEEKDAY(DATE(YEAR+1,February,8-Saturday)))</f>
        <v>45703</v>
      </c>
      <c r="N253" s="43"/>
    </row>
    <row r="254" spans="2:14" x14ac:dyDescent="0.25">
      <c r="B254" s="4">
        <v>1984</v>
      </c>
      <c r="C254" t="s">
        <v>199</v>
      </c>
      <c r="D254" s="8" t="s">
        <v>579</v>
      </c>
      <c r="E254" s="8" t="s">
        <v>225</v>
      </c>
      <c r="F254" s="14" t="s">
        <v>59</v>
      </c>
      <c r="G254" s="26"/>
      <c r="H254" s="26"/>
      <c r="I254" s="26"/>
      <c r="J254" s="26"/>
      <c r="K254" s="26"/>
      <c r="L254" s="51" t="s">
        <v>673</v>
      </c>
      <c r="M254" s="55">
        <f>IF(O254&gt;0,O254,DATE(YEAR+1,February,1+7*_3rd_weekday_occurrence)-WEEKDAY(DATE(YEAR+1,February,8-Saturday)))</f>
        <v>45703</v>
      </c>
      <c r="N254" s="43"/>
    </row>
    <row r="255" spans="2:14" x14ac:dyDescent="0.25">
      <c r="B255" s="4">
        <v>406</v>
      </c>
      <c r="C255" t="s">
        <v>61</v>
      </c>
      <c r="D255" s="8" t="s">
        <v>2</v>
      </c>
      <c r="E255" s="8" t="s">
        <v>225</v>
      </c>
      <c r="F255" s="42" t="s">
        <v>62</v>
      </c>
      <c r="G255" s="26"/>
      <c r="H255" s="26"/>
      <c r="I255" s="26"/>
      <c r="J255" s="26"/>
      <c r="K255" s="26"/>
      <c r="L255" s="26" t="s">
        <v>672</v>
      </c>
      <c r="M255" s="5">
        <f>IF(O255&gt;0,O255,DATE(YEAR+1,February,1+7*_3rd_weekday_occurrence)-WEEKDAY(DATE(YEAR+1,February,8-Monday)))</f>
        <v>45705</v>
      </c>
      <c r="N255" s="41"/>
    </row>
    <row r="256" spans="2:14" x14ac:dyDescent="0.25">
      <c r="B256" s="4">
        <v>406</v>
      </c>
      <c r="C256" t="s">
        <v>61</v>
      </c>
      <c r="D256" s="8" t="s">
        <v>579</v>
      </c>
      <c r="F256" s="42" t="s">
        <v>62</v>
      </c>
      <c r="G256" s="26"/>
      <c r="H256" s="26"/>
      <c r="I256" s="26"/>
      <c r="J256" s="26"/>
      <c r="K256" s="26"/>
      <c r="L256" s="26" t="s">
        <v>672</v>
      </c>
      <c r="M256" s="55">
        <f>IF(O256&gt;0,O256,DATE(YEAR+1,February,1+7*_3rd_weekday_occurrence)-WEEKDAY(DATE(YEAR+1,February,8-Monday)))</f>
        <v>45705</v>
      </c>
      <c r="N256" s="41"/>
    </row>
    <row r="257" spans="2:14" x14ac:dyDescent="0.25">
      <c r="B257" s="4">
        <v>932</v>
      </c>
      <c r="C257" t="s">
        <v>63</v>
      </c>
      <c r="D257" s="8" t="s">
        <v>2</v>
      </c>
      <c r="E257" s="8" t="s">
        <v>225</v>
      </c>
      <c r="F257" s="42" t="s">
        <v>62</v>
      </c>
      <c r="G257" s="26"/>
      <c r="H257" s="26"/>
      <c r="I257" s="26"/>
      <c r="J257" s="26"/>
      <c r="K257" s="26"/>
      <c r="L257" t="s">
        <v>709</v>
      </c>
      <c r="M257" s="5">
        <f>IF(O257&gt;0,O257,DATE(YEAR+1,February,1+7*_3rd_weekday_occurrence)-WEEKDAY(DATE(YEAR+1,February,8-Monday)))</f>
        <v>45705</v>
      </c>
      <c r="N257" s="41"/>
    </row>
    <row r="258" spans="2:14" x14ac:dyDescent="0.25">
      <c r="B258" s="4">
        <v>932</v>
      </c>
      <c r="C258" t="s">
        <v>63</v>
      </c>
      <c r="D258" s="8" t="s">
        <v>579</v>
      </c>
      <c r="F258" s="42" t="s">
        <v>62</v>
      </c>
      <c r="G258" s="26"/>
      <c r="H258" s="26"/>
      <c r="I258" s="26"/>
      <c r="J258" s="26"/>
      <c r="K258" s="26"/>
      <c r="L258" t="s">
        <v>709</v>
      </c>
      <c r="M258" s="55">
        <f>IF(O258&gt;0,O258,DATE(YEAR+1,February,1+7*_3rd_weekday_occurrence)-WEEKDAY(DATE(YEAR+1,February,8-Monday)))</f>
        <v>45705</v>
      </c>
      <c r="N258" s="41"/>
    </row>
    <row r="259" spans="2:14" x14ac:dyDescent="0.25">
      <c r="B259" s="4">
        <v>1771</v>
      </c>
      <c r="C259" t="s">
        <v>125</v>
      </c>
      <c r="D259" s="8" t="s">
        <v>2</v>
      </c>
      <c r="F259" s="14" t="s">
        <v>62</v>
      </c>
      <c r="G259" s="26"/>
      <c r="H259" s="26"/>
      <c r="I259" s="26"/>
      <c r="J259" s="26"/>
      <c r="K259" s="26"/>
      <c r="L259" t="s">
        <v>693</v>
      </c>
      <c r="M259" s="5">
        <f>IF(O259&gt;0,O259,DATE(YEAR+1,February,1+7*_3rd_weekday_occurrence)-WEEKDAY(DATE(YEAR+1,February,8-Monday)))</f>
        <v>45705</v>
      </c>
      <c r="N259" s="41"/>
    </row>
    <row r="260" spans="2:14" x14ac:dyDescent="0.25">
      <c r="B260" s="4">
        <v>1</v>
      </c>
      <c r="C260" t="s">
        <v>64</v>
      </c>
      <c r="D260" s="8" t="s">
        <v>2</v>
      </c>
      <c r="E260" s="8" t="s">
        <v>225</v>
      </c>
      <c r="F260" s="42" t="s">
        <v>65</v>
      </c>
      <c r="G260" s="42"/>
      <c r="H260" s="42"/>
      <c r="I260" s="42"/>
      <c r="J260" s="42"/>
      <c r="K260" s="42"/>
      <c r="L260" s="42" t="s">
        <v>709</v>
      </c>
      <c r="M260" s="5">
        <f>IF(O260&gt;0,O260,DATE(YEAR+1,February,1+7*_3rd_weekday_occurrence)-WEEKDAY(DATE(YEAR+1,February,8-Tuesday)))</f>
        <v>45706</v>
      </c>
      <c r="N260" s="41"/>
    </row>
    <row r="261" spans="2:14" x14ac:dyDescent="0.25">
      <c r="B261" s="4">
        <v>1</v>
      </c>
      <c r="C261" t="s">
        <v>578</v>
      </c>
      <c r="D261" s="8" t="s">
        <v>579</v>
      </c>
      <c r="F261" s="42" t="s">
        <v>65</v>
      </c>
      <c r="G261" s="42"/>
      <c r="H261" s="42"/>
      <c r="I261" s="42"/>
      <c r="J261" s="42"/>
      <c r="K261" s="42"/>
      <c r="L261" s="42" t="s">
        <v>709</v>
      </c>
      <c r="M261" s="55">
        <f>IF(O261&gt;0,O261,DATE(YEAR+1,February,1+7*_3rd_weekday_occurrence)-WEEKDAY(DATE(YEAR+1,February,8-Tuesday)))</f>
        <v>45706</v>
      </c>
      <c r="N261" s="41"/>
    </row>
    <row r="262" spans="2:14" x14ac:dyDescent="0.25">
      <c r="B262" s="4">
        <v>748</v>
      </c>
      <c r="C262" t="s">
        <v>153</v>
      </c>
      <c r="D262" s="8" t="s">
        <v>579</v>
      </c>
      <c r="E262" s="8" t="s">
        <v>225</v>
      </c>
      <c r="F262" s="14" t="s">
        <v>667</v>
      </c>
      <c r="G262" s="26"/>
      <c r="H262" s="26"/>
      <c r="I262" s="26"/>
      <c r="J262" s="26"/>
      <c r="K262" s="26"/>
      <c r="L262" s="42" t="s">
        <v>673</v>
      </c>
      <c r="M262" s="55">
        <f>IF(O262&gt;0,O262,DATE(YEAR+1,February,1+7*_3rd_weekday_occurrence)-WEEKDAY(DATE(YEAR+1,February,8-Tuesday)))</f>
        <v>45706</v>
      </c>
      <c r="N262" s="41"/>
    </row>
    <row r="263" spans="2:14" x14ac:dyDescent="0.25">
      <c r="B263" s="4">
        <v>856</v>
      </c>
      <c r="C263" t="s">
        <v>66</v>
      </c>
      <c r="D263" s="8" t="s">
        <v>2</v>
      </c>
      <c r="E263" s="8" t="s">
        <v>225</v>
      </c>
      <c r="F263" s="42" t="s">
        <v>67</v>
      </c>
      <c r="G263" s="26"/>
      <c r="H263" s="26"/>
      <c r="I263" s="26"/>
      <c r="J263" s="26"/>
      <c r="K263" s="26"/>
      <c r="L263" t="s">
        <v>693</v>
      </c>
      <c r="M263" s="5">
        <f>IF(O263&gt;0,O263,DATE(YEAR+1,February,1+7*_3rd_weekday_occurrence)-WEEKDAY(DATE(YEAR+1,February,8-Wednesday)))</f>
        <v>45707</v>
      </c>
      <c r="N263" s="41"/>
    </row>
    <row r="264" spans="2:14" x14ac:dyDescent="0.25">
      <c r="B264" s="4">
        <v>856</v>
      </c>
      <c r="C264" t="s">
        <v>66</v>
      </c>
      <c r="D264" s="8" t="s">
        <v>579</v>
      </c>
      <c r="F264" s="42" t="s">
        <v>67</v>
      </c>
      <c r="G264" s="26"/>
      <c r="H264" s="26"/>
      <c r="I264" s="26"/>
      <c r="J264" s="26"/>
      <c r="K264" s="26"/>
      <c r="L264" t="s">
        <v>693</v>
      </c>
      <c r="M264" s="55">
        <f>IF(O264&gt;0,O264,DATE(YEAR+1,February,1+7*_3rd_weekday_occurrence)-WEEKDAY(DATE(YEAR+1,February,8-Wednesday)))</f>
        <v>45707</v>
      </c>
      <c r="N264" s="41"/>
    </row>
    <row r="265" spans="2:14" x14ac:dyDescent="0.25">
      <c r="B265" s="4">
        <v>7</v>
      </c>
      <c r="C265" t="s">
        <v>42</v>
      </c>
      <c r="D265" s="8" t="s">
        <v>2</v>
      </c>
      <c r="E265" s="8" t="s">
        <v>225</v>
      </c>
      <c r="F265" s="42" t="s">
        <v>68</v>
      </c>
      <c r="G265" s="42"/>
      <c r="H265" s="42"/>
      <c r="I265" s="42"/>
      <c r="J265" s="42"/>
      <c r="K265" s="42"/>
      <c r="L265" s="42" t="s">
        <v>710</v>
      </c>
      <c r="M265" s="5">
        <f>IF(O265&gt;0,O265,DATE(YEAR+1,February,1+7*_3rd_weekday_occurrence)-WEEKDAY(DATE(YEAR+1,February,8-Thursday)))</f>
        <v>45708</v>
      </c>
      <c r="N265" s="41"/>
    </row>
    <row r="266" spans="2:14" x14ac:dyDescent="0.25">
      <c r="B266" s="4">
        <v>7</v>
      </c>
      <c r="C266" t="s">
        <v>42</v>
      </c>
      <c r="D266" s="8" t="s">
        <v>579</v>
      </c>
      <c r="F266" s="42" t="s">
        <v>68</v>
      </c>
      <c r="G266" s="42"/>
      <c r="H266" s="42"/>
      <c r="I266" s="42"/>
      <c r="J266" s="42"/>
      <c r="K266" s="42"/>
      <c r="L266" t="s">
        <v>710</v>
      </c>
      <c r="M266" s="55">
        <f>IF(O266&gt;0,O266,DATE(YEAR+1,February,1+7*_3rd_weekday_occurrence)-WEEKDAY(DATE(YEAR+1,February,8-Thursday)))</f>
        <v>45708</v>
      </c>
      <c r="N266" s="41"/>
    </row>
    <row r="267" spans="2:14" x14ac:dyDescent="0.25">
      <c r="B267" s="4">
        <v>411</v>
      </c>
      <c r="C267" t="s">
        <v>69</v>
      </c>
      <c r="D267" s="8" t="s">
        <v>2</v>
      </c>
      <c r="E267" s="8" t="s">
        <v>225</v>
      </c>
      <c r="F267" s="42" t="s">
        <v>68</v>
      </c>
      <c r="G267" s="26"/>
      <c r="H267" s="26"/>
      <c r="I267" s="26"/>
      <c r="J267" s="26"/>
      <c r="K267" s="26"/>
      <c r="L267" s="42" t="s">
        <v>709</v>
      </c>
      <c r="M267" s="5">
        <f>IF(O267&gt;0,O267,DATE(YEAR+1,February,1+7*_3rd_weekday_occurrence)-WEEKDAY(DATE(YEAR+1,February,8-Thursday)))</f>
        <v>45708</v>
      </c>
      <c r="N267" s="41"/>
    </row>
    <row r="268" spans="2:14" x14ac:dyDescent="0.25">
      <c r="B268" s="4">
        <v>411</v>
      </c>
      <c r="C268" t="s">
        <v>69</v>
      </c>
      <c r="D268" s="8" t="s">
        <v>579</v>
      </c>
      <c r="F268" s="42" t="s">
        <v>68</v>
      </c>
      <c r="G268" s="26"/>
      <c r="H268" s="26"/>
      <c r="I268" s="26"/>
      <c r="J268" s="26"/>
      <c r="K268" s="26"/>
      <c r="L268" s="42" t="s">
        <v>709</v>
      </c>
      <c r="M268" s="55">
        <f>IF(O268&gt;0,O268,DATE(YEAR+1,February,1+7*_3rd_weekday_occurrence)-WEEKDAY(DATE(YEAR+1,February,8-Thursday)))</f>
        <v>45708</v>
      </c>
      <c r="N268" s="41"/>
    </row>
    <row r="269" spans="2:14" x14ac:dyDescent="0.25">
      <c r="B269" s="4">
        <v>2001</v>
      </c>
      <c r="C269" t="s">
        <v>58</v>
      </c>
      <c r="D269" s="8" t="s">
        <v>2</v>
      </c>
      <c r="E269" s="8" t="s">
        <v>225</v>
      </c>
      <c r="F269" t="s">
        <v>68</v>
      </c>
      <c r="L269" s="51" t="s">
        <v>673</v>
      </c>
      <c r="M269" s="5">
        <f>IF(O269&gt;0,O269,DATE(YEAR+1,February,1+7*_3rd_weekday_occurrence)-WEEKDAY(DATE(YEAR+1,February,8-Thursday)))</f>
        <v>45708</v>
      </c>
    </row>
    <row r="270" spans="2:14" x14ac:dyDescent="0.25">
      <c r="B270" s="4" t="s">
        <v>181</v>
      </c>
      <c r="C270" t="s">
        <v>182</v>
      </c>
      <c r="D270" s="8" t="s">
        <v>2</v>
      </c>
      <c r="F270" s="15" t="s">
        <v>522</v>
      </c>
      <c r="G270" s="26"/>
      <c r="H270" s="26"/>
      <c r="I270" s="26"/>
      <c r="J270" s="26"/>
      <c r="K270" s="26"/>
      <c r="L270" s="26" t="s">
        <v>672</v>
      </c>
      <c r="M270" s="44">
        <f>IF(O270&gt;0,O270,DATE(YEAR+1,February,1+7*_3rd_weekday_occurrence)-WEEKDAY(DATE(YEAR+1,February,8-Thursday)))</f>
        <v>45708</v>
      </c>
    </row>
    <row r="271" spans="2:14" x14ac:dyDescent="0.25">
      <c r="B271" s="4" t="s">
        <v>181</v>
      </c>
      <c r="C271" t="s">
        <v>182</v>
      </c>
      <c r="D271" s="8" t="s">
        <v>579</v>
      </c>
      <c r="E271" s="8" t="s">
        <v>225</v>
      </c>
      <c r="F271" s="15" t="s">
        <v>522</v>
      </c>
      <c r="G271" s="26"/>
      <c r="H271" s="26"/>
      <c r="I271" s="26"/>
      <c r="J271" s="26"/>
      <c r="K271" s="26"/>
      <c r="L271" s="26" t="s">
        <v>672</v>
      </c>
      <c r="M271" s="44">
        <f>IF(O266&gt;0,O266,DATE(YEAR+1,February,1+7*_3rd_weekday_occurrence)-WEEKDAY(DATE(YEAR+1,February,8-Thursday)))</f>
        <v>45708</v>
      </c>
    </row>
    <row r="272" spans="2:14" x14ac:dyDescent="0.25">
      <c r="B272" s="4">
        <v>1889</v>
      </c>
      <c r="C272" t="s">
        <v>186</v>
      </c>
      <c r="D272" s="8" t="s">
        <v>2</v>
      </c>
      <c r="F272" s="14" t="s">
        <v>509</v>
      </c>
      <c r="G272" s="26"/>
      <c r="H272" s="26"/>
      <c r="I272" s="26"/>
      <c r="J272" s="26"/>
      <c r="K272" s="26"/>
      <c r="L272" s="5" t="s">
        <v>672</v>
      </c>
      <c r="M272" s="5">
        <f>IF(O272&gt;0,O272,DATE(YEAR+1,February,1+7*_3rd_weekday_occurrence)-WEEKDAY(DATE(YEAR+1,February,8-Friday)))</f>
        <v>45709</v>
      </c>
      <c r="N272" s="41"/>
    </row>
    <row r="273" spans="2:14" x14ac:dyDescent="0.25">
      <c r="B273" s="4">
        <v>1889</v>
      </c>
      <c r="C273" t="s">
        <v>186</v>
      </c>
      <c r="D273" s="8" t="s">
        <v>579</v>
      </c>
      <c r="F273" s="14" t="s">
        <v>509</v>
      </c>
      <c r="G273" s="26"/>
      <c r="H273" s="26"/>
      <c r="I273" s="26"/>
      <c r="J273" s="26"/>
      <c r="K273" s="26"/>
      <c r="L273" s="5" t="s">
        <v>672</v>
      </c>
      <c r="M273" s="55">
        <f>IF(O273&gt;0,O273,DATE(YEAR+1,February,1+7*_3rd_weekday_occurrence)-WEEKDAY(DATE(YEAR+1,February,8-Friday)))</f>
        <v>45709</v>
      </c>
      <c r="N273" s="41"/>
    </row>
    <row r="274" spans="2:14" x14ac:dyDescent="0.25">
      <c r="B274" s="4">
        <v>22</v>
      </c>
      <c r="C274" t="s">
        <v>70</v>
      </c>
      <c r="D274" s="8" t="s">
        <v>2</v>
      </c>
      <c r="E274" s="8" t="s">
        <v>225</v>
      </c>
      <c r="F274" s="42" t="s">
        <v>71</v>
      </c>
      <c r="G274" s="26"/>
      <c r="H274" s="26"/>
      <c r="I274" s="26"/>
      <c r="J274" s="26"/>
      <c r="K274" s="26"/>
      <c r="L274" t="s">
        <v>708</v>
      </c>
      <c r="M274" s="5">
        <f>IF(O274&gt;0,O274,DATE(YEAR+1,February,1+7*_4th_weekday_occurrence)-WEEKDAY(DATE(YEAR+1,February,8-Monday)))</f>
        <v>45712</v>
      </c>
      <c r="N274" s="41"/>
    </row>
    <row r="275" spans="2:14" x14ac:dyDescent="0.25">
      <c r="B275" s="4">
        <v>22</v>
      </c>
      <c r="C275" t="s">
        <v>70</v>
      </c>
      <c r="D275" s="8" t="s">
        <v>579</v>
      </c>
      <c r="F275" s="42" t="s">
        <v>71</v>
      </c>
      <c r="G275" s="26"/>
      <c r="H275" s="26"/>
      <c r="I275" s="26"/>
      <c r="J275" s="26"/>
      <c r="K275" s="26"/>
      <c r="L275" s="51" t="s">
        <v>708</v>
      </c>
      <c r="M275" s="55">
        <f>IF(O275&gt;0,O275,DATE(YEAR+1,February,1+7*_4th_weekday_occurrence)-WEEKDAY(DATE(YEAR+1,February,8-Monday)))</f>
        <v>45712</v>
      </c>
      <c r="N275" s="41"/>
    </row>
    <row r="276" spans="2:14" x14ac:dyDescent="0.25">
      <c r="B276" s="4">
        <v>1227</v>
      </c>
      <c r="C276" t="s">
        <v>157</v>
      </c>
      <c r="D276" s="8" t="s">
        <v>2</v>
      </c>
      <c r="F276" t="s">
        <v>71</v>
      </c>
      <c r="L276" s="26" t="s">
        <v>672</v>
      </c>
      <c r="M276" s="5">
        <f>IF(O276&gt;0,O276,DATE(YEAR+1,February,1+7*_4th_weekday_occurrence)-WEEKDAY(DATE(YEAR+1,February,8-Monday)))</f>
        <v>45712</v>
      </c>
      <c r="N276" s="41"/>
    </row>
    <row r="277" spans="2:14" x14ac:dyDescent="0.25">
      <c r="B277" s="4">
        <v>1227</v>
      </c>
      <c r="C277" t="s">
        <v>588</v>
      </c>
      <c r="D277" s="8" t="s">
        <v>579</v>
      </c>
      <c r="E277" s="8" t="s">
        <v>225</v>
      </c>
      <c r="F277" t="s">
        <v>71</v>
      </c>
      <c r="L277" s="26" t="s">
        <v>672</v>
      </c>
      <c r="M277" s="55">
        <f>IF(O277&gt;0,O277,DATE(YEAR+1,February,1+7*_4th_weekday_occurrence)-WEEKDAY(DATE(YEAR+1,February,8-Monday)))</f>
        <v>45712</v>
      </c>
      <c r="N277" s="41"/>
    </row>
    <row r="278" spans="2:14" x14ac:dyDescent="0.25">
      <c r="B278" s="4">
        <v>234</v>
      </c>
      <c r="C278" t="s">
        <v>104</v>
      </c>
      <c r="D278" s="8" t="s">
        <v>2</v>
      </c>
      <c r="F278" s="15" t="s">
        <v>449</v>
      </c>
      <c r="G278" s="26"/>
      <c r="H278" s="26"/>
      <c r="I278" s="26"/>
      <c r="J278" s="26"/>
      <c r="K278" s="26"/>
      <c r="L278" s="26" t="s">
        <v>672</v>
      </c>
      <c r="M278" s="44">
        <f>IF(O278&gt;0,O278,DATE(YEAR+1,February,1+7*_4th_weekday_occurrence)-WEEKDAY(DATE(YEAR+1,February,8-Tuesday)))</f>
        <v>45713</v>
      </c>
      <c r="N278" s="41"/>
    </row>
    <row r="279" spans="2:14" x14ac:dyDescent="0.25">
      <c r="B279" s="4">
        <v>234</v>
      </c>
      <c r="C279" t="s">
        <v>104</v>
      </c>
      <c r="D279" s="8" t="s">
        <v>579</v>
      </c>
      <c r="F279" s="15" t="s">
        <v>449</v>
      </c>
      <c r="G279" s="26"/>
      <c r="H279" s="26"/>
      <c r="I279" s="26"/>
      <c r="J279" s="26"/>
      <c r="K279" s="26"/>
      <c r="L279" s="26" t="s">
        <v>672</v>
      </c>
      <c r="M279" s="44">
        <f>IF(O279&gt;0,O279,DATE(YEAR+1,February,1+7*_4th_weekday_occurrence)-WEEKDAY(DATE(YEAR+1,February,8-Tuesday)))</f>
        <v>45713</v>
      </c>
      <c r="N279" s="41"/>
    </row>
    <row r="280" spans="2:14" x14ac:dyDescent="0.25">
      <c r="B280" s="4">
        <v>996</v>
      </c>
      <c r="C280" t="s">
        <v>192</v>
      </c>
      <c r="D280" s="8" t="s">
        <v>2</v>
      </c>
      <c r="F280" s="15" t="s">
        <v>449</v>
      </c>
      <c r="G280" s="26"/>
      <c r="H280" s="26"/>
      <c r="I280" s="26"/>
      <c r="J280" s="26"/>
      <c r="K280" s="26"/>
      <c r="L280" t="s">
        <v>708</v>
      </c>
      <c r="M280" s="5">
        <f>IF(O280&gt;0,O280,DATE(YEAR+1,February,1+7*_4th_weekday_occurrence)-WEEKDAY(DATE(YEAR+1,February,8-Tuesday)))</f>
        <v>45713</v>
      </c>
      <c r="N280" s="41"/>
    </row>
    <row r="281" spans="2:14" x14ac:dyDescent="0.25">
      <c r="B281" s="4">
        <v>996</v>
      </c>
      <c r="C281" t="s">
        <v>192</v>
      </c>
      <c r="D281" s="8" t="s">
        <v>579</v>
      </c>
      <c r="F281" s="15" t="s">
        <v>449</v>
      </c>
      <c r="G281" s="26"/>
      <c r="H281" s="26"/>
      <c r="I281" s="26"/>
      <c r="J281" s="26"/>
      <c r="K281" s="26"/>
      <c r="L281" t="s">
        <v>708</v>
      </c>
      <c r="M281" s="55">
        <f>IF(O281&gt;0,O281,DATE(YEAR+1,February,1+7*_4th_weekday_occurrence)-WEEKDAY(DATE(YEAR+1,February,8-Tuesday)))</f>
        <v>45713</v>
      </c>
      <c r="N281" s="41"/>
    </row>
    <row r="282" spans="2:14" x14ac:dyDescent="0.25">
      <c r="B282" s="4">
        <v>1336</v>
      </c>
      <c r="C282" t="s">
        <v>703</v>
      </c>
      <c r="D282" s="8" t="s">
        <v>2</v>
      </c>
      <c r="E282" s="8" t="s">
        <v>225</v>
      </c>
      <c r="F282" s="15" t="s">
        <v>704</v>
      </c>
      <c r="L282" t="s">
        <v>708</v>
      </c>
      <c r="M282" s="55">
        <f>IF(O282&gt;0,O282,DATE(YEAR+1,February,1+7*_4th_weekday_occurrence)-WEEKDAY(DATE(YEAR+1,February,8-Tuesday)))</f>
        <v>45713</v>
      </c>
    </row>
    <row r="283" spans="2:14" x14ac:dyDescent="0.25">
      <c r="B283" s="4" t="s">
        <v>138</v>
      </c>
      <c r="C283" t="s">
        <v>139</v>
      </c>
      <c r="D283" s="8" t="s">
        <v>2</v>
      </c>
      <c r="F283" s="15" t="s">
        <v>449</v>
      </c>
      <c r="L283" s="51" t="s">
        <v>673</v>
      </c>
      <c r="M283" s="5">
        <f>IF(O283&gt;0,O283,DATE(YEAR+1,February,1+7*_4th_weekday_occurrence)-WEEKDAY(DATE(YEAR+1,February,8-Tuesday)))</f>
        <v>45713</v>
      </c>
    </row>
    <row r="284" spans="2:14" x14ac:dyDescent="0.25">
      <c r="B284" s="4" t="s">
        <v>138</v>
      </c>
      <c r="C284" t="s">
        <v>139</v>
      </c>
      <c r="D284" s="8" t="s">
        <v>579</v>
      </c>
      <c r="F284" s="15" t="s">
        <v>449</v>
      </c>
      <c r="L284" s="51" t="s">
        <v>673</v>
      </c>
      <c r="M284" s="55">
        <f>IF(O281&gt;0,O281,DATE(YEAR+1,February,1+7*_4th_weekday_occurrence)-WEEKDAY(DATE(YEAR+1,February,8-Tuesday)))</f>
        <v>45713</v>
      </c>
    </row>
    <row r="285" spans="2:14" x14ac:dyDescent="0.25">
      <c r="B285" s="4">
        <v>139</v>
      </c>
      <c r="C285" t="s">
        <v>206</v>
      </c>
      <c r="D285" s="8" t="s">
        <v>2</v>
      </c>
      <c r="F285" s="15" t="s">
        <v>454</v>
      </c>
      <c r="G285" s="26"/>
      <c r="H285" s="26"/>
      <c r="I285" s="26"/>
      <c r="J285" s="26"/>
      <c r="K285" s="26"/>
      <c r="L285" s="5" t="s">
        <v>710</v>
      </c>
      <c r="M285" s="44">
        <f>IF(O285&gt;0,O285,DATE(YEAR+1,February,1+7*_4th_weekday_occurrence)-WEEKDAY(DATE(YEAR+1,February,8-Wednesday)))</f>
        <v>45714</v>
      </c>
      <c r="N285" s="41"/>
    </row>
    <row r="286" spans="2:14" x14ac:dyDescent="0.25">
      <c r="B286" s="4">
        <v>139</v>
      </c>
      <c r="C286" t="s">
        <v>206</v>
      </c>
      <c r="D286" s="8" t="s">
        <v>579</v>
      </c>
      <c r="E286" s="8" t="s">
        <v>225</v>
      </c>
      <c r="F286" s="15" t="s">
        <v>454</v>
      </c>
      <c r="G286" s="26"/>
      <c r="H286" s="26"/>
      <c r="I286" s="26"/>
      <c r="J286" s="26"/>
      <c r="K286" s="26"/>
      <c r="L286" s="42" t="s">
        <v>710</v>
      </c>
      <c r="M286" s="44">
        <f>IF(O286&gt;0,O286,DATE(YEAR+1,February,1+7*_4th_weekday_occurrence)-WEEKDAY(DATE(YEAR+1,February,8-Wednesday)))</f>
        <v>45714</v>
      </c>
      <c r="N286" s="41"/>
    </row>
    <row r="287" spans="2:14" x14ac:dyDescent="0.25">
      <c r="B287" s="4">
        <v>786</v>
      </c>
      <c r="C287" t="s">
        <v>142</v>
      </c>
      <c r="D287" s="8" t="s">
        <v>2</v>
      </c>
      <c r="F287" s="14" t="s">
        <v>454</v>
      </c>
      <c r="G287" s="26"/>
      <c r="H287" s="26"/>
      <c r="I287" s="26"/>
      <c r="J287" s="26"/>
      <c r="K287" s="26"/>
      <c r="L287" t="s">
        <v>693</v>
      </c>
      <c r="M287" s="5">
        <f>IF(O287&gt;0,O287,DATE(YEAR+1,February,1+7*_4th_weekday_occurrence)-WEEKDAY(DATE(YEAR+1,February,8-Wednesday)))</f>
        <v>45714</v>
      </c>
      <c r="N287" s="41"/>
    </row>
    <row r="288" spans="2:14" x14ac:dyDescent="0.25">
      <c r="B288" s="4">
        <v>786</v>
      </c>
      <c r="C288" t="s">
        <v>142</v>
      </c>
      <c r="D288" s="8" t="s">
        <v>579</v>
      </c>
      <c r="F288" s="14" t="s">
        <v>454</v>
      </c>
      <c r="G288" s="26"/>
      <c r="H288" s="26"/>
      <c r="I288" s="26"/>
      <c r="J288" s="26"/>
      <c r="K288" s="26"/>
      <c r="L288" t="s">
        <v>693</v>
      </c>
      <c r="M288" s="55">
        <f>IF(O288&gt;0,O288,DATE(YEAR+1,February,1+7*_4th_weekday_occurrence)-WEEKDAY(DATE(YEAR+1,February,8-Wednesday)))</f>
        <v>45714</v>
      </c>
      <c r="N288" s="41"/>
    </row>
    <row r="289" spans="2:14" x14ac:dyDescent="0.25">
      <c r="B289" s="4">
        <v>458</v>
      </c>
      <c r="C289" t="s">
        <v>72</v>
      </c>
      <c r="D289" s="8" t="s">
        <v>2</v>
      </c>
      <c r="E289" s="8" t="s">
        <v>225</v>
      </c>
      <c r="F289" s="42" t="s">
        <v>73</v>
      </c>
      <c r="G289" s="26"/>
      <c r="H289" s="26"/>
      <c r="I289" s="26"/>
      <c r="J289" s="26"/>
      <c r="K289" s="26"/>
      <c r="L289" s="51" t="s">
        <v>673</v>
      </c>
      <c r="M289" s="5">
        <f>IF(O289&gt;0,O289,DATE(YEAR+1,March,1+7*_1st_weekday_occurrence)-WEEKDAY(DATE(YEAR+1,March,8-Monday)))</f>
        <v>45719</v>
      </c>
      <c r="N289" s="41"/>
    </row>
    <row r="290" spans="2:14" x14ac:dyDescent="0.25">
      <c r="B290" s="4">
        <v>458</v>
      </c>
      <c r="C290" t="s">
        <v>72</v>
      </c>
      <c r="D290" s="8" t="s">
        <v>579</v>
      </c>
      <c r="E290" s="8" t="s">
        <v>225</v>
      </c>
      <c r="F290" s="42" t="s">
        <v>73</v>
      </c>
      <c r="G290" s="26"/>
      <c r="H290" s="26"/>
      <c r="I290" s="26"/>
      <c r="J290" s="26"/>
      <c r="K290" s="26"/>
      <c r="L290" s="5" t="s">
        <v>673</v>
      </c>
      <c r="M290" s="55">
        <f>IF(O290&gt;0,O290,DATE(YEAR+1,March,1+7*_1st_weekday_occurrence)-WEEKDAY(DATE(YEAR+1,March,8-Monday)))</f>
        <v>45719</v>
      </c>
      <c r="N290" s="41"/>
    </row>
    <row r="291" spans="2:14" x14ac:dyDescent="0.25">
      <c r="B291" s="4">
        <v>1124</v>
      </c>
      <c r="C291" t="s">
        <v>74</v>
      </c>
      <c r="D291" s="8" t="s">
        <v>2</v>
      </c>
      <c r="E291" s="8" t="s">
        <v>225</v>
      </c>
      <c r="F291" s="42" t="s">
        <v>73</v>
      </c>
      <c r="G291" s="26"/>
      <c r="H291" s="26"/>
      <c r="I291" s="26"/>
      <c r="J291" s="26"/>
      <c r="K291" s="26"/>
      <c r="L291" s="5" t="s">
        <v>710</v>
      </c>
      <c r="M291" s="5">
        <f>IF(O291&gt;0,O291,DATE(YEAR+1,March,1+7*_1st_weekday_occurrence)-WEEKDAY(DATE(YEAR+1,March,8-Monday)))</f>
        <v>45719</v>
      </c>
      <c r="N291" s="41"/>
    </row>
    <row r="292" spans="2:14" x14ac:dyDescent="0.25">
      <c r="B292" s="4">
        <v>1124</v>
      </c>
      <c r="C292" t="s">
        <v>74</v>
      </c>
      <c r="D292" s="8" t="s">
        <v>579</v>
      </c>
      <c r="F292" s="42" t="s">
        <v>73</v>
      </c>
      <c r="G292" s="26"/>
      <c r="H292" s="26"/>
      <c r="I292" s="26"/>
      <c r="J292" s="26"/>
      <c r="K292" s="26"/>
      <c r="L292" s="5" t="s">
        <v>710</v>
      </c>
      <c r="M292" s="55">
        <f>IF(O292&gt;0,O292,DATE(YEAR+1,March,1+7*_1st_weekday_occurrence)-WEEKDAY(DATE(YEAR+1,March,8-Monday)))</f>
        <v>45719</v>
      </c>
      <c r="N292" s="41"/>
    </row>
    <row r="293" spans="2:14" x14ac:dyDescent="0.25">
      <c r="B293" s="4">
        <v>1638</v>
      </c>
      <c r="C293" t="s">
        <v>75</v>
      </c>
      <c r="D293" s="8" t="s">
        <v>2</v>
      </c>
      <c r="E293" s="8" t="s">
        <v>225</v>
      </c>
      <c r="F293" s="42" t="s">
        <v>90</v>
      </c>
      <c r="G293" s="26"/>
      <c r="H293" s="26"/>
      <c r="I293" s="26"/>
      <c r="J293" s="26"/>
      <c r="K293" s="26"/>
      <c r="L293" t="s">
        <v>672</v>
      </c>
      <c r="M293" s="5">
        <f>IF(O293&gt;0,O293,DATE(YEAR+1,March,1+7*_1st_weekday_occurrence)-WEEKDAY(DATE(YEAR+1,March,8-Monday)))</f>
        <v>45719</v>
      </c>
      <c r="N293" s="41"/>
    </row>
    <row r="294" spans="2:14" ht="15" customHeight="1" x14ac:dyDescent="0.25">
      <c r="B294" s="4">
        <v>1638</v>
      </c>
      <c r="C294" t="s">
        <v>75</v>
      </c>
      <c r="D294" s="8" t="s">
        <v>579</v>
      </c>
      <c r="F294" s="42" t="s">
        <v>73</v>
      </c>
      <c r="G294" s="26"/>
      <c r="H294" s="26"/>
      <c r="I294" s="26"/>
      <c r="J294" s="26"/>
      <c r="K294" s="26"/>
      <c r="L294" t="s">
        <v>672</v>
      </c>
      <c r="M294" s="55">
        <f>IF(O294&gt;0,O294,DATE(YEAR+1,March,1+7*_1st_weekday_occurrence)-WEEKDAY(DATE(YEAR+1,March,8-Monday)))</f>
        <v>45719</v>
      </c>
      <c r="N294" s="41"/>
    </row>
    <row r="295" spans="2:14" x14ac:dyDescent="0.25">
      <c r="B295" s="4">
        <v>652</v>
      </c>
      <c r="C295" t="s">
        <v>127</v>
      </c>
      <c r="D295" s="8" t="s">
        <v>2</v>
      </c>
      <c r="F295" s="15" t="s">
        <v>77</v>
      </c>
      <c r="G295" s="26"/>
      <c r="H295" s="26"/>
      <c r="I295" s="26"/>
      <c r="J295" s="26"/>
      <c r="K295" s="26"/>
      <c r="L295" s="42" t="s">
        <v>709</v>
      </c>
      <c r="M295" s="5">
        <f>IF(O295&gt;0,O295,DATE(YEAR+1,March,1+7*_1st_weekday_occurrence)-WEEKDAY(DATE(YEAR+1,March,8-Tuesday)))</f>
        <v>45720</v>
      </c>
      <c r="N295" s="41"/>
    </row>
    <row r="296" spans="2:14" x14ac:dyDescent="0.25">
      <c r="B296" s="4">
        <v>652</v>
      </c>
      <c r="C296" t="s">
        <v>587</v>
      </c>
      <c r="D296" s="8" t="s">
        <v>579</v>
      </c>
      <c r="F296" s="15" t="s">
        <v>77</v>
      </c>
      <c r="G296" s="26"/>
      <c r="H296" s="26"/>
      <c r="I296" s="26"/>
      <c r="J296" s="26"/>
      <c r="K296" s="26"/>
      <c r="L296" s="42" t="s">
        <v>709</v>
      </c>
      <c r="M296" s="55">
        <f>IF(O296&gt;0,O296,DATE(YEAR+1,March,1+7*_1st_weekday_occurrence)-WEEKDAY(DATE(YEAR+1,March,8-Tuesday)))</f>
        <v>45720</v>
      </c>
      <c r="N296" s="41"/>
    </row>
    <row r="297" spans="2:14" x14ac:dyDescent="0.25">
      <c r="B297" s="4">
        <v>976</v>
      </c>
      <c r="C297" t="s">
        <v>76</v>
      </c>
      <c r="D297" s="8" t="s">
        <v>2</v>
      </c>
      <c r="E297" s="8" t="s">
        <v>225</v>
      </c>
      <c r="F297" s="42" t="s">
        <v>77</v>
      </c>
      <c r="G297" s="26"/>
      <c r="H297" s="26"/>
      <c r="I297" s="26"/>
      <c r="J297" s="26"/>
      <c r="K297" s="26"/>
      <c r="L297" s="5" t="s">
        <v>693</v>
      </c>
      <c r="M297" s="5">
        <f>IF(O297&gt;0,O297,DATE(YEAR+1,March,1+7*_1st_weekday_occurrence)-WEEKDAY(DATE(YEAR+1,March,8-Tuesday)))</f>
        <v>45720</v>
      </c>
      <c r="N297" s="41"/>
    </row>
    <row r="298" spans="2:14" x14ac:dyDescent="0.25">
      <c r="B298" s="4">
        <v>976</v>
      </c>
      <c r="C298" t="s">
        <v>76</v>
      </c>
      <c r="D298" s="8" t="s">
        <v>579</v>
      </c>
      <c r="F298" s="42" t="s">
        <v>77</v>
      </c>
      <c r="G298" s="26"/>
      <c r="H298" s="26"/>
      <c r="I298" s="26"/>
      <c r="J298" s="26"/>
      <c r="K298" s="26"/>
      <c r="L298" s="5" t="s">
        <v>693</v>
      </c>
      <c r="M298" s="55">
        <f>IF(O298&gt;0,O298,DATE(YEAR+1,March,1+7*_1st_weekday_occurrence)-WEEKDAY(DATE(YEAR+1,March,8-Tuesday)))</f>
        <v>45720</v>
      </c>
      <c r="N298" s="41"/>
    </row>
    <row r="299" spans="2:14" x14ac:dyDescent="0.25">
      <c r="B299" s="4">
        <v>1534</v>
      </c>
      <c r="C299" t="s">
        <v>159</v>
      </c>
      <c r="D299" s="8" t="s">
        <v>2</v>
      </c>
      <c r="F299" s="15" t="s">
        <v>504</v>
      </c>
      <c r="G299" s="26"/>
      <c r="H299" s="26"/>
      <c r="I299" s="26"/>
      <c r="J299" s="26"/>
      <c r="K299" s="26"/>
      <c r="L299" s="51" t="s">
        <v>693</v>
      </c>
      <c r="M299" s="5">
        <f>IF(O299&gt;0,O299,DATE(YEAR+1,March,1+7*_1st_weekday_occurrence)-WEEKDAY(DATE(YEAR+1,March,8-Wednesday)))</f>
        <v>45721</v>
      </c>
      <c r="N299" s="41"/>
    </row>
    <row r="300" spans="2:14" x14ac:dyDescent="0.25">
      <c r="B300" s="4">
        <v>224</v>
      </c>
      <c r="C300" t="s">
        <v>49</v>
      </c>
      <c r="D300" s="8" t="s">
        <v>579</v>
      </c>
      <c r="F300" s="42" t="s">
        <v>79</v>
      </c>
      <c r="G300" s="26"/>
      <c r="H300" s="26"/>
      <c r="I300" s="26"/>
      <c r="J300" s="26"/>
      <c r="K300" s="26"/>
      <c r="L300" t="s">
        <v>693</v>
      </c>
      <c r="M300" s="44">
        <f>IF(O300&gt;0,O300,DATE(YEAR+1,March,1+7*_1st_weekday_occurrence)-WEEKDAY(DATE(YEAR+1,March,8-Thursday)))</f>
        <v>45722</v>
      </c>
      <c r="N300" s="41"/>
    </row>
    <row r="301" spans="2:14" x14ac:dyDescent="0.25">
      <c r="B301" s="4">
        <v>1160</v>
      </c>
      <c r="C301" t="s">
        <v>78</v>
      </c>
      <c r="D301" s="8" t="s">
        <v>2</v>
      </c>
      <c r="E301" s="8" t="s">
        <v>225</v>
      </c>
      <c r="F301" s="42" t="s">
        <v>79</v>
      </c>
      <c r="G301" s="26"/>
      <c r="H301" s="26"/>
      <c r="I301" s="26"/>
      <c r="J301" s="26"/>
      <c r="K301" s="26"/>
      <c r="L301" t="s">
        <v>693</v>
      </c>
      <c r="M301" s="5">
        <f>IF(O301&gt;0,O301,DATE(YEAR+1,March,1+7*_1st_weekday_occurrence)-WEEKDAY(DATE(YEAR+1,March,8-Thursday)))</f>
        <v>45722</v>
      </c>
      <c r="N301" s="41"/>
    </row>
    <row r="302" spans="2:14" x14ac:dyDescent="0.25">
      <c r="B302" s="4">
        <v>815</v>
      </c>
      <c r="C302" t="s">
        <v>80</v>
      </c>
      <c r="D302" s="8" t="s">
        <v>2</v>
      </c>
      <c r="E302" s="8" t="s">
        <v>225</v>
      </c>
      <c r="F302" s="42" t="s">
        <v>81</v>
      </c>
      <c r="G302" s="26"/>
      <c r="H302" s="26"/>
      <c r="I302" s="26"/>
      <c r="J302" s="26"/>
      <c r="K302" s="26"/>
      <c r="L302" s="26" t="s">
        <v>673</v>
      </c>
      <c r="M302" s="5">
        <f>IF(O302&gt;0,O302,DATE(YEAR+1,March,1+7*_2nd_weekday_occurrence)-WEEKDAY(DATE(YEAR+1,March,8-Monday)))</f>
        <v>45726</v>
      </c>
      <c r="N302" s="41"/>
    </row>
    <row r="303" spans="2:14" x14ac:dyDescent="0.25">
      <c r="B303" s="4">
        <v>1856</v>
      </c>
      <c r="C303" t="s">
        <v>204</v>
      </c>
      <c r="D303" s="8" t="s">
        <v>2</v>
      </c>
      <c r="F303" s="15" t="s">
        <v>81</v>
      </c>
      <c r="G303" s="26"/>
      <c r="H303" s="26"/>
      <c r="I303" s="26"/>
      <c r="J303" s="26"/>
      <c r="K303" s="26"/>
      <c r="L303" t="s">
        <v>708</v>
      </c>
      <c r="M303" s="5">
        <f>IF(O303&gt;0,O303,DATE(YEAR+1,March,1+7*_2nd_weekday_occurrence)-WEEKDAY(DATE(YEAR+1,March,8-Monday)))</f>
        <v>45726</v>
      </c>
      <c r="N303" s="41"/>
    </row>
    <row r="304" spans="2:14" x14ac:dyDescent="0.25">
      <c r="B304" s="4">
        <v>1856</v>
      </c>
      <c r="C304" t="s">
        <v>204</v>
      </c>
      <c r="D304" s="8" t="s">
        <v>579</v>
      </c>
      <c r="E304" s="8" t="s">
        <v>225</v>
      </c>
      <c r="F304" s="15" t="s">
        <v>81</v>
      </c>
      <c r="G304" s="26"/>
      <c r="H304" s="26"/>
      <c r="I304" s="26"/>
      <c r="J304" s="26"/>
      <c r="K304" s="26"/>
      <c r="L304" t="s">
        <v>708</v>
      </c>
      <c r="M304" s="55">
        <f>IF(O304&gt;0,O304,DATE(YEAR+1,March,1+7*_2nd_weekday_occurrence)-WEEKDAY(DATE(YEAR+1,March,8-Monday)))</f>
        <v>45726</v>
      </c>
      <c r="N304" s="41"/>
    </row>
    <row r="305" spans="2:14" x14ac:dyDescent="0.25">
      <c r="B305" s="4">
        <v>643</v>
      </c>
      <c r="C305" t="s">
        <v>115</v>
      </c>
      <c r="D305" s="8" t="s">
        <v>2</v>
      </c>
      <c r="F305" s="15" t="s">
        <v>469</v>
      </c>
      <c r="G305" s="26"/>
      <c r="H305" s="26"/>
      <c r="I305" s="26"/>
      <c r="J305" s="26"/>
      <c r="K305" s="26"/>
      <c r="L305" s="26" t="s">
        <v>672</v>
      </c>
      <c r="M305" s="5">
        <f>IF(O305&gt;0,O305,DATE(YEAR+1,March,1+7*_2nd_weekday_occurrence)-WEEKDAY(DATE(YEAR+1,March,8-Tuesday)))</f>
        <v>45727</v>
      </c>
      <c r="N305" s="41"/>
    </row>
    <row r="306" spans="2:14" x14ac:dyDescent="0.25">
      <c r="B306" s="4">
        <v>469</v>
      </c>
      <c r="C306" t="s">
        <v>216</v>
      </c>
      <c r="D306" s="8" t="s">
        <v>2</v>
      </c>
      <c r="F306" s="14" t="s">
        <v>83</v>
      </c>
      <c r="G306" s="26"/>
      <c r="H306" s="26"/>
      <c r="I306" s="26"/>
      <c r="J306" s="26"/>
      <c r="K306" s="26"/>
      <c r="L306" t="s">
        <v>708</v>
      </c>
      <c r="M306" s="5">
        <f>IF(O306&gt;0,O306,DATE(YEAR+1,March,1+7*_2nd_weekday_occurrence)-WEEKDAY(DATE(YEAR+1,March,8-Wednesday)))</f>
        <v>45728</v>
      </c>
      <c r="N306" s="41"/>
    </row>
    <row r="307" spans="2:14" x14ac:dyDescent="0.25">
      <c r="B307" s="4">
        <v>833</v>
      </c>
      <c r="C307" t="s">
        <v>82</v>
      </c>
      <c r="D307" s="8" t="s">
        <v>2</v>
      </c>
      <c r="E307" s="8" t="s">
        <v>225</v>
      </c>
      <c r="F307" s="42" t="s">
        <v>83</v>
      </c>
      <c r="G307" s="26"/>
      <c r="H307" s="26"/>
      <c r="I307" s="26"/>
      <c r="J307" s="26"/>
      <c r="K307" s="26"/>
      <c r="L307" s="51" t="s">
        <v>673</v>
      </c>
      <c r="M307" s="5">
        <f>IF(O307&gt;0,O307,DATE(YEAR+1,March,1+7*_2nd_weekday_occurrence)-WEEKDAY(DATE(YEAR+1,March,8-Wednesday)))</f>
        <v>45728</v>
      </c>
      <c r="N307" s="41"/>
    </row>
    <row r="308" spans="2:14" x14ac:dyDescent="0.25">
      <c r="B308" s="4">
        <v>1152</v>
      </c>
      <c r="C308" t="s">
        <v>155</v>
      </c>
      <c r="D308" s="8" t="s">
        <v>2</v>
      </c>
      <c r="F308" s="15" t="s">
        <v>83</v>
      </c>
      <c r="G308" s="26"/>
      <c r="H308" s="26"/>
      <c r="I308" s="26"/>
      <c r="J308" s="26"/>
      <c r="K308" s="26"/>
      <c r="L308" s="5" t="s">
        <v>672</v>
      </c>
      <c r="M308" s="5">
        <f>IF(O308&gt;0,O308,DATE(YEAR+1,March,1+7*_2nd_weekday_occurrence)-WEEKDAY(DATE(YEAR+1,March,8-Wednesday)))</f>
        <v>45728</v>
      </c>
      <c r="N308" s="41"/>
    </row>
    <row r="309" spans="2:14" x14ac:dyDescent="0.25">
      <c r="B309" s="4">
        <v>1152</v>
      </c>
      <c r="C309" t="s">
        <v>155</v>
      </c>
      <c r="D309" s="8" t="s">
        <v>579</v>
      </c>
      <c r="E309" s="8" t="s">
        <v>225</v>
      </c>
      <c r="F309" s="15" t="s">
        <v>83</v>
      </c>
      <c r="G309" s="26"/>
      <c r="H309" s="26"/>
      <c r="I309" s="26"/>
      <c r="J309" s="26"/>
      <c r="K309" s="26"/>
      <c r="L309" s="5" t="s">
        <v>672</v>
      </c>
      <c r="M309" s="55">
        <f>IF(O309&gt;0,O309,DATE(YEAR+1,March,1+7*_2nd_weekday_occurrence)-WEEKDAY(DATE(YEAR+1,March,8-Wednesday)))</f>
        <v>45728</v>
      </c>
      <c r="N309" s="41"/>
    </row>
    <row r="310" spans="2:14" x14ac:dyDescent="0.25">
      <c r="B310" s="4">
        <v>363</v>
      </c>
      <c r="C310" t="s">
        <v>133</v>
      </c>
      <c r="D310" s="8" t="s">
        <v>2</v>
      </c>
      <c r="F310" t="s">
        <v>457</v>
      </c>
      <c r="L310" s="26" t="s">
        <v>672</v>
      </c>
      <c r="M310" s="44">
        <f>IF(O310&gt;0,O310,DATE(YEAR+1,March,1+1+7*_2nd_weekday_occurrence)-WEEKDAY(DATE(YEAR+1,March,8-Wednesday)))</f>
        <v>45729</v>
      </c>
      <c r="N310" s="41"/>
    </row>
    <row r="311" spans="2:14" x14ac:dyDescent="0.25">
      <c r="B311" s="4">
        <v>363</v>
      </c>
      <c r="C311" t="s">
        <v>133</v>
      </c>
      <c r="D311" s="8" t="s">
        <v>579</v>
      </c>
      <c r="F311" t="s">
        <v>457</v>
      </c>
      <c r="L311" s="26" t="s">
        <v>672</v>
      </c>
      <c r="M311" s="44">
        <f>IF(O311&gt;0,O311,DATE(YEAR+1,March,1+1+7*_2nd_weekday_occurrence)-WEEKDAY(DATE(YEAR+1,March,8-Wednesday)))</f>
        <v>45729</v>
      </c>
      <c r="N311" s="41"/>
    </row>
    <row r="312" spans="2:14" x14ac:dyDescent="0.25">
      <c r="B312" s="4">
        <v>1228</v>
      </c>
      <c r="C312" t="s">
        <v>84</v>
      </c>
      <c r="D312" s="8" t="s">
        <v>2</v>
      </c>
      <c r="E312" s="8" t="s">
        <v>225</v>
      </c>
      <c r="F312" s="42" t="s">
        <v>85</v>
      </c>
      <c r="G312" s="26"/>
      <c r="H312" s="26"/>
      <c r="I312" s="26"/>
      <c r="J312" s="26"/>
      <c r="K312" s="26"/>
      <c r="L312" t="s">
        <v>710</v>
      </c>
      <c r="M312" s="5">
        <f>IF(O312&gt;0,O312,DATE(YEAR+1,March,1+7*_2nd_weekday_occurrence)-WEEKDAY(DATE(YEAR+1,March,8-Thursday)))</f>
        <v>45729</v>
      </c>
      <c r="N312" s="41"/>
    </row>
    <row r="313" spans="2:14" x14ac:dyDescent="0.25">
      <c r="B313" s="4">
        <v>1228</v>
      </c>
      <c r="C313" t="s">
        <v>84</v>
      </c>
      <c r="D313" s="8" t="s">
        <v>579</v>
      </c>
      <c r="F313" s="42" t="s">
        <v>85</v>
      </c>
      <c r="G313" s="26"/>
      <c r="H313" s="26"/>
      <c r="I313" s="26"/>
      <c r="J313" s="26"/>
      <c r="K313" s="26"/>
      <c r="L313" t="s">
        <v>710</v>
      </c>
      <c r="M313" s="55">
        <f>IF(O313&gt;0,O313,DATE(YEAR+1,March,1+7*_2nd_weekday_occurrence)-WEEKDAY(DATE(YEAR+1,March,8-Thursday)))</f>
        <v>45729</v>
      </c>
      <c r="N313" s="41"/>
    </row>
    <row r="314" spans="2:14" x14ac:dyDescent="0.25">
      <c r="B314" s="4">
        <v>1767</v>
      </c>
      <c r="C314" t="s">
        <v>171</v>
      </c>
      <c r="D314" s="8" t="s">
        <v>2</v>
      </c>
      <c r="F314" s="14" t="s">
        <v>507</v>
      </c>
      <c r="G314" s="26"/>
      <c r="H314" s="26"/>
      <c r="I314" s="26"/>
      <c r="J314" s="26"/>
      <c r="K314" s="26"/>
      <c r="L314" s="42" t="s">
        <v>709</v>
      </c>
      <c r="M314" s="5">
        <f>IF(O314&gt;0,O314,DATE(YEAR+1,March,1+7*_2nd_weekday_occurrence)-WEEKDAY(DATE(YEAR+1,March,8-Thursday)))</f>
        <v>45729</v>
      </c>
      <c r="N314" s="41"/>
    </row>
    <row r="315" spans="2:14" x14ac:dyDescent="0.25">
      <c r="B315" s="4">
        <v>728</v>
      </c>
      <c r="C315" t="s">
        <v>86</v>
      </c>
      <c r="D315" s="8" t="s">
        <v>2</v>
      </c>
      <c r="E315" s="8" t="s">
        <v>225</v>
      </c>
      <c r="F315" s="42" t="s">
        <v>87</v>
      </c>
      <c r="G315" s="26"/>
      <c r="H315" s="26"/>
      <c r="I315" s="26"/>
      <c r="J315" s="26"/>
      <c r="K315" s="26"/>
      <c r="L315" t="s">
        <v>708</v>
      </c>
      <c r="M315" s="5">
        <f>IF(O315&gt;0,O315,DATE(YEAR+1,March,1+7*_2nd_weekday_occurrence)-WEEKDAY(DATE(YEAR+1,March,8-Friday)))</f>
        <v>45730</v>
      </c>
      <c r="N315" s="41"/>
    </row>
    <row r="316" spans="2:14" x14ac:dyDescent="0.25">
      <c r="B316" s="4">
        <v>728</v>
      </c>
      <c r="C316" t="s">
        <v>86</v>
      </c>
      <c r="D316" s="8" t="s">
        <v>579</v>
      </c>
      <c r="F316" s="42" t="s">
        <v>87</v>
      </c>
      <c r="G316" s="26"/>
      <c r="H316" s="26"/>
      <c r="I316" s="26"/>
      <c r="J316" s="26"/>
      <c r="K316" s="26"/>
      <c r="L316" t="s">
        <v>708</v>
      </c>
      <c r="M316" s="55">
        <f>IF(O316&gt;0,O316,DATE(YEAR+1,March,1+7*_2nd_weekday_occurrence)-WEEKDAY(DATE(YEAR+1,March,8-Friday)))</f>
        <v>45730</v>
      </c>
      <c r="N316" s="41"/>
    </row>
    <row r="317" spans="2:14" x14ac:dyDescent="0.25">
      <c r="B317" s="4">
        <v>997</v>
      </c>
      <c r="C317" t="s">
        <v>88</v>
      </c>
      <c r="D317" s="8" t="s">
        <v>2</v>
      </c>
      <c r="E317" s="8" t="s">
        <v>225</v>
      </c>
      <c r="F317" s="42" t="s">
        <v>87</v>
      </c>
      <c r="G317" s="26"/>
      <c r="H317" s="26"/>
      <c r="I317" s="26"/>
      <c r="J317" s="26"/>
      <c r="K317" s="26"/>
      <c r="L317" t="s">
        <v>710</v>
      </c>
      <c r="M317" s="5">
        <f>IF(O317&gt;0,O317,DATE(YEAR+1,March,1+7*_2nd_weekday_occurrence)-WEEKDAY(DATE(YEAR+1,March,8-Friday)))</f>
        <v>45730</v>
      </c>
      <c r="N317" s="41"/>
    </row>
    <row r="318" spans="2:14" x14ac:dyDescent="0.25">
      <c r="B318" s="4">
        <v>997</v>
      </c>
      <c r="C318" t="s">
        <v>88</v>
      </c>
      <c r="D318" s="8" t="s">
        <v>579</v>
      </c>
      <c r="E318" s="8" t="s">
        <v>225</v>
      </c>
      <c r="F318" s="42" t="s">
        <v>87</v>
      </c>
      <c r="G318" s="26"/>
      <c r="H318" s="26"/>
      <c r="I318" s="26"/>
      <c r="J318" s="26"/>
      <c r="K318" s="26"/>
      <c r="L318" t="s">
        <v>710</v>
      </c>
      <c r="M318" s="55">
        <f>IF(O318&gt;0,O318,DATE(YEAR+1,March,1+7*_2nd_weekday_occurrence)-WEEKDAY(DATE(YEAR+1,March,8-Friday)))</f>
        <v>45730</v>
      </c>
      <c r="N318" s="41"/>
    </row>
    <row r="319" spans="2:14" x14ac:dyDescent="0.25">
      <c r="B319" s="4">
        <v>238</v>
      </c>
      <c r="C319" t="s">
        <v>146</v>
      </c>
      <c r="D319" s="8" t="s">
        <v>2</v>
      </c>
      <c r="F319" s="15" t="s">
        <v>90</v>
      </c>
      <c r="G319" s="26"/>
      <c r="H319" s="26"/>
      <c r="I319" s="26"/>
      <c r="J319" s="26"/>
      <c r="K319" s="26"/>
      <c r="L319" t="s">
        <v>708</v>
      </c>
      <c r="M319" s="44">
        <f>IF(O319&gt;0,O319,DATE(YEAR+1,March,1+7*_3rd_weekday_occurrence)-WEEKDAY(DATE(YEAR+1,March,8-Monday)))</f>
        <v>45733</v>
      </c>
      <c r="N319" s="41"/>
    </row>
    <row r="320" spans="2:14" x14ac:dyDescent="0.25">
      <c r="B320" s="4">
        <v>238</v>
      </c>
      <c r="C320" t="s">
        <v>146</v>
      </c>
      <c r="D320" s="8" t="s">
        <v>579</v>
      </c>
      <c r="F320" s="15" t="s">
        <v>90</v>
      </c>
      <c r="G320" s="26"/>
      <c r="H320" s="26"/>
      <c r="I320" s="26"/>
      <c r="J320" s="26"/>
      <c r="K320" s="26"/>
      <c r="L320" t="s">
        <v>708</v>
      </c>
      <c r="M320" s="44">
        <f>IF(O320&gt;0,O320,DATE(YEAR+1,March,1+7*_3rd_weekday_occurrence)-WEEKDAY(DATE(YEAR+1,March,8-Monday)))</f>
        <v>45733</v>
      </c>
      <c r="N320" s="41"/>
    </row>
    <row r="321" spans="2:14" x14ac:dyDescent="0.25">
      <c r="B321" s="4">
        <v>431</v>
      </c>
      <c r="C321" t="s">
        <v>89</v>
      </c>
      <c r="D321" s="8" t="s">
        <v>2</v>
      </c>
      <c r="E321" s="8" t="s">
        <v>225</v>
      </c>
      <c r="F321" s="42" t="s">
        <v>90</v>
      </c>
      <c r="G321" s="26"/>
      <c r="H321" s="26"/>
      <c r="I321" s="26"/>
      <c r="J321" s="26"/>
      <c r="K321" s="26"/>
      <c r="L321" t="s">
        <v>710</v>
      </c>
      <c r="M321" s="5">
        <f>IF(O321&gt;0,O321,DATE(YEAR+1,March,1+7*_3rd_weekday_occurrence)-WEEKDAY(DATE(YEAR+1,March,8-Monday)))</f>
        <v>45733</v>
      </c>
      <c r="N321" s="41"/>
    </row>
    <row r="322" spans="2:14" x14ac:dyDescent="0.25">
      <c r="B322" s="4">
        <v>431</v>
      </c>
      <c r="C322" t="s">
        <v>89</v>
      </c>
      <c r="D322" s="8" t="s">
        <v>579</v>
      </c>
      <c r="F322" s="42" t="s">
        <v>90</v>
      </c>
      <c r="G322" s="26"/>
      <c r="H322" s="26"/>
      <c r="I322" s="26"/>
      <c r="J322" s="26"/>
      <c r="K322" s="26"/>
      <c r="L322" s="42" t="s">
        <v>710</v>
      </c>
      <c r="M322" s="55">
        <f>IF(O322&gt;0,O322,DATE(YEAR+1,March,1+7*_3rd_weekday_occurrence)-WEEKDAY(DATE(YEAR+1,March,8-Monday)))</f>
        <v>45733</v>
      </c>
      <c r="N322" s="41"/>
    </row>
    <row r="323" spans="2:14" x14ac:dyDescent="0.25">
      <c r="B323" s="4">
        <v>418</v>
      </c>
      <c r="C323" t="s">
        <v>91</v>
      </c>
      <c r="D323" s="8" t="s">
        <v>2</v>
      </c>
      <c r="E323" s="8" t="s">
        <v>225</v>
      </c>
      <c r="F323" s="42" t="s">
        <v>92</v>
      </c>
      <c r="G323" s="26"/>
      <c r="H323" s="26"/>
      <c r="I323" s="26"/>
      <c r="J323" s="26"/>
      <c r="K323" s="26"/>
      <c r="L323" s="42" t="s">
        <v>709</v>
      </c>
      <c r="M323" s="5">
        <f>IF(O323&gt;0,O323,DATE(YEAR+1,March,1+7*_3rd_weekday_occurrence)-WEEKDAY(DATE(YEAR+1,March,8-Wednesday)))</f>
        <v>45735</v>
      </c>
      <c r="N323" s="41"/>
    </row>
    <row r="324" spans="2:14" x14ac:dyDescent="0.25">
      <c r="B324" s="4">
        <v>418</v>
      </c>
      <c r="C324" t="s">
        <v>91</v>
      </c>
      <c r="D324" s="8" t="s">
        <v>579</v>
      </c>
      <c r="F324" s="42" t="s">
        <v>92</v>
      </c>
      <c r="G324" s="26"/>
      <c r="H324" s="26"/>
      <c r="I324" s="26"/>
      <c r="J324" s="26"/>
      <c r="K324" s="26"/>
      <c r="L324" s="42" t="s">
        <v>709</v>
      </c>
      <c r="M324" s="55">
        <f>IF(O324&gt;0,O324,DATE(YEAR+1,March,1+7*_3rd_weekday_occurrence)-WEEKDAY(DATE(YEAR+1,March,8-Wednesday)))</f>
        <v>45735</v>
      </c>
      <c r="N324" s="41"/>
    </row>
    <row r="325" spans="2:14" x14ac:dyDescent="0.25">
      <c r="B325" s="4">
        <v>410</v>
      </c>
      <c r="C325" t="s">
        <v>93</v>
      </c>
      <c r="D325" s="8" t="s">
        <v>2</v>
      </c>
      <c r="E325" s="8" t="s">
        <v>225</v>
      </c>
      <c r="F325" s="42" t="s">
        <v>94</v>
      </c>
      <c r="G325" s="26"/>
      <c r="H325" s="26"/>
      <c r="I325" s="26"/>
      <c r="J325" s="26"/>
      <c r="K325" s="26"/>
      <c r="L325" t="s">
        <v>693</v>
      </c>
      <c r="M325" s="5">
        <f>IF(O325&gt;0,O325,DATE(YEAR+1,March,1+7*_3rd_weekday_occurrence)-WEEKDAY(DATE(YEAR+1,March,8-Thursday)))</f>
        <v>45736</v>
      </c>
      <c r="N325" s="41"/>
    </row>
    <row r="326" spans="2:14" x14ac:dyDescent="0.25">
      <c r="B326" s="4">
        <v>410</v>
      </c>
      <c r="C326" t="s">
        <v>585</v>
      </c>
      <c r="D326" s="8" t="s">
        <v>579</v>
      </c>
      <c r="F326" s="42" t="s">
        <v>94</v>
      </c>
      <c r="G326" s="26"/>
      <c r="H326" s="26"/>
      <c r="I326" s="26"/>
      <c r="J326" s="26"/>
      <c r="K326" s="26"/>
      <c r="L326" t="s">
        <v>693</v>
      </c>
      <c r="M326" s="55">
        <f>IF(O326&gt;0,O326,DATE(YEAR+1,March,1+7*_3rd_weekday_occurrence)-WEEKDAY(DATE(YEAR+1,March,8-Thursday)))</f>
        <v>45736</v>
      </c>
      <c r="N326" s="41"/>
    </row>
    <row r="327" spans="2:14" x14ac:dyDescent="0.25">
      <c r="B327" s="4">
        <v>647</v>
      </c>
      <c r="C327" t="s">
        <v>4</v>
      </c>
      <c r="D327" s="8" t="s">
        <v>2</v>
      </c>
      <c r="F327" s="15" t="s">
        <v>471</v>
      </c>
      <c r="G327" s="26"/>
      <c r="H327" s="26"/>
      <c r="I327" s="26"/>
      <c r="J327" s="26"/>
      <c r="K327" s="26"/>
      <c r="L327" t="s">
        <v>693</v>
      </c>
      <c r="M327" s="5">
        <f>IF(O327&gt;0,O327,DATE(YEAR+1,March,1+7*_3rd_weekday_occurrence)-WEEKDAY(DATE(YEAR+1,March,8-Thursday)))</f>
        <v>45736</v>
      </c>
      <c r="N327" s="41"/>
    </row>
    <row r="328" spans="2:14" x14ac:dyDescent="0.25">
      <c r="B328" s="4">
        <v>647</v>
      </c>
      <c r="C328" t="s">
        <v>4</v>
      </c>
      <c r="D328" s="8" t="s">
        <v>579</v>
      </c>
      <c r="F328" s="15" t="s">
        <v>471</v>
      </c>
      <c r="G328" s="26"/>
      <c r="H328" s="26"/>
      <c r="I328" s="26"/>
      <c r="J328" s="26"/>
      <c r="K328" s="26"/>
      <c r="L328" t="s">
        <v>693</v>
      </c>
      <c r="M328" s="55">
        <f>IF(O328&gt;0,O328,DATE(YEAR+1,March,1+7*_3rd_weekday_occurrence)-WEEKDAY(DATE(YEAR+1,March,8-Thursday)))</f>
        <v>45736</v>
      </c>
      <c r="N328" s="41"/>
    </row>
    <row r="329" spans="2:14" x14ac:dyDescent="0.25">
      <c r="B329" s="4">
        <v>1457</v>
      </c>
      <c r="C329" t="s">
        <v>161</v>
      </c>
      <c r="D329" s="8" t="s">
        <v>2</v>
      </c>
      <c r="F329" s="15" t="s">
        <v>500</v>
      </c>
      <c r="G329" s="26"/>
      <c r="H329" s="26"/>
      <c r="I329" s="26"/>
      <c r="J329" s="26"/>
      <c r="K329" s="26"/>
      <c r="L329" t="s">
        <v>693</v>
      </c>
      <c r="M329" s="5">
        <f>IF(O329&gt;0,O329,DATE(YEAR+1,March,1+7*_3rd_weekday_occurrence)-WEEKDAY(DATE(YEAR+1,March,8-Friday)))</f>
        <v>45737</v>
      </c>
      <c r="N329" s="41"/>
    </row>
    <row r="330" spans="2:14" x14ac:dyDescent="0.25">
      <c r="B330" s="4">
        <v>1457</v>
      </c>
      <c r="C330" t="s">
        <v>161</v>
      </c>
      <c r="D330" s="8" t="s">
        <v>579</v>
      </c>
      <c r="E330" s="8" t="s">
        <v>225</v>
      </c>
      <c r="F330" s="15" t="s">
        <v>500</v>
      </c>
      <c r="G330" s="26"/>
      <c r="H330" s="26"/>
      <c r="I330" s="26"/>
      <c r="J330" s="26"/>
      <c r="K330" s="26"/>
      <c r="L330" t="s">
        <v>693</v>
      </c>
      <c r="M330" s="55">
        <f>IF(O330&gt;0,O330,DATE(YEAR+1,March,1+7*_3rd_weekday_occurrence)-WEEKDAY(DATE(YEAR+1,March,8-Friday)))</f>
        <v>45737</v>
      </c>
      <c r="N330" s="41"/>
    </row>
    <row r="331" spans="2:14" x14ac:dyDescent="0.25">
      <c r="B331" s="4">
        <v>921</v>
      </c>
      <c r="C331" t="s">
        <v>95</v>
      </c>
      <c r="D331" s="8" t="s">
        <v>2</v>
      </c>
      <c r="E331" s="8" t="s">
        <v>225</v>
      </c>
      <c r="F331" s="42" t="s">
        <v>96</v>
      </c>
      <c r="G331" s="26"/>
      <c r="H331" s="26"/>
      <c r="I331" s="26"/>
      <c r="J331" s="26"/>
      <c r="K331" s="26"/>
      <c r="L331" t="s">
        <v>693</v>
      </c>
      <c r="M331" s="5">
        <f>IF(O331&gt;0,O331,DATE(YEAR+1,March,1+7*_4th_weekday_occurrence)-WEEKDAY(DATE(YEAR+1,March,8-Monday)))</f>
        <v>45740</v>
      </c>
      <c r="N331" s="41"/>
    </row>
    <row r="332" spans="2:14" x14ac:dyDescent="0.25">
      <c r="B332" s="4">
        <v>921</v>
      </c>
      <c r="C332" t="s">
        <v>95</v>
      </c>
      <c r="D332" s="8" t="s">
        <v>579</v>
      </c>
      <c r="F332" s="42" t="s">
        <v>96</v>
      </c>
      <c r="G332" s="26"/>
      <c r="H332" s="26"/>
      <c r="I332" s="26"/>
      <c r="J332" s="26"/>
      <c r="K332" s="26"/>
      <c r="L332" t="s">
        <v>693</v>
      </c>
      <c r="M332" s="55">
        <f>IF(O332&gt;0,O332,DATE(YEAR+1,March,1+7*_4th_weekday_occurrence)-WEEKDAY(DATE(YEAR+1,March,8-Monday)))</f>
        <v>45740</v>
      </c>
      <c r="N332" s="41"/>
    </row>
    <row r="333" spans="2:14" x14ac:dyDescent="0.25">
      <c r="B333" s="4">
        <v>361</v>
      </c>
      <c r="C333" t="s">
        <v>208</v>
      </c>
      <c r="D333" s="8" t="s">
        <v>2</v>
      </c>
      <c r="F333" s="14" t="s">
        <v>98</v>
      </c>
      <c r="G333" s="26"/>
      <c r="H333" s="26"/>
      <c r="I333" s="26"/>
      <c r="J333" s="26"/>
      <c r="K333" s="26"/>
      <c r="L333" s="51" t="s">
        <v>673</v>
      </c>
      <c r="M333" s="44">
        <f>IF(O333&gt;0,O333,DATE(YEAR+1,March,1+7*_4th_weekday_occurrence)-WEEKDAY(DATE(YEAR+1,March,8-Tuesday)))</f>
        <v>45741</v>
      </c>
      <c r="N333" s="41"/>
    </row>
    <row r="334" spans="2:14" x14ac:dyDescent="0.25">
      <c r="B334" s="4">
        <v>361</v>
      </c>
      <c r="C334" t="s">
        <v>208</v>
      </c>
      <c r="D334" s="8" t="s">
        <v>579</v>
      </c>
      <c r="E334" s="8" t="s">
        <v>225</v>
      </c>
      <c r="F334" s="14" t="s">
        <v>98</v>
      </c>
      <c r="G334" s="26"/>
      <c r="H334" s="26"/>
      <c r="I334" s="26"/>
      <c r="J334" s="26"/>
      <c r="K334" s="26"/>
      <c r="L334" s="51" t="s">
        <v>673</v>
      </c>
      <c r="M334" s="44">
        <f>IF(O334&gt;0,O334,DATE(YEAR+1,March,1+7*_4th_weekday_occurrence)-WEEKDAY(DATE(YEAR+1,March,8-Tuesday)))</f>
        <v>45741</v>
      </c>
      <c r="N334" s="41"/>
    </row>
    <row r="335" spans="2:14" x14ac:dyDescent="0.25">
      <c r="B335" s="4">
        <v>742</v>
      </c>
      <c r="C335" t="s">
        <v>97</v>
      </c>
      <c r="D335" s="8" t="s">
        <v>2</v>
      </c>
      <c r="E335" s="8" t="s">
        <v>225</v>
      </c>
      <c r="F335" s="42" t="s">
        <v>98</v>
      </c>
      <c r="G335" s="26"/>
      <c r="H335" s="26"/>
      <c r="I335" s="26"/>
      <c r="J335" s="26"/>
      <c r="K335" s="26"/>
      <c r="L335" s="42" t="s">
        <v>709</v>
      </c>
      <c r="M335" s="5">
        <f>IF(O335&gt;0,O335,DATE(YEAR+1,March,1+7*_4th_weekday_occurrence)-WEEKDAY(DATE(YEAR+1,March,8-Tuesday)))</f>
        <v>45741</v>
      </c>
      <c r="N335" s="41"/>
    </row>
    <row r="336" spans="2:14" x14ac:dyDescent="0.25">
      <c r="B336" s="4">
        <v>742</v>
      </c>
      <c r="C336" t="s">
        <v>97</v>
      </c>
      <c r="D336" s="8" t="s">
        <v>579</v>
      </c>
      <c r="E336" s="8" t="s">
        <v>225</v>
      </c>
      <c r="F336" s="42" t="s">
        <v>98</v>
      </c>
      <c r="G336" s="26"/>
      <c r="H336" s="26"/>
      <c r="I336" s="26"/>
      <c r="J336" s="26"/>
      <c r="K336" s="26"/>
      <c r="L336" s="5" t="s">
        <v>709</v>
      </c>
      <c r="M336" s="55">
        <f>IF(O336&gt;0,O336,DATE(YEAR+1,March,1+7*_4th_weekday_occurrence)-WEEKDAY(DATE(YEAR+1,March,8-Tuesday)))</f>
        <v>45741</v>
      </c>
      <c r="N336" s="41"/>
    </row>
    <row r="337" spans="2:14" x14ac:dyDescent="0.25">
      <c r="B337" s="4">
        <v>1265</v>
      </c>
      <c r="C337" t="s">
        <v>194</v>
      </c>
      <c r="D337" s="8" t="s">
        <v>2</v>
      </c>
      <c r="F337" s="15" t="s">
        <v>98</v>
      </c>
      <c r="G337" s="26"/>
      <c r="H337" s="26"/>
      <c r="I337" s="26"/>
      <c r="J337" s="26"/>
      <c r="K337" s="26"/>
      <c r="L337" s="42" t="s">
        <v>710</v>
      </c>
      <c r="M337" s="5">
        <f>IF(O337&gt;0,O337,DATE(YEAR+1,March,1+7*_4th_weekday_occurrence)-WEEKDAY(DATE(YEAR+1,March,8-Tuesday)))</f>
        <v>45741</v>
      </c>
      <c r="N337" s="41"/>
    </row>
    <row r="338" spans="2:14" x14ac:dyDescent="0.25">
      <c r="B338" s="4">
        <v>1265</v>
      </c>
      <c r="C338" t="s">
        <v>194</v>
      </c>
      <c r="D338" s="8" t="s">
        <v>579</v>
      </c>
      <c r="E338" s="8" t="s">
        <v>225</v>
      </c>
      <c r="F338" s="15" t="s">
        <v>98</v>
      </c>
      <c r="G338" s="26"/>
      <c r="H338" s="26"/>
      <c r="I338" s="26"/>
      <c r="J338" s="26"/>
      <c r="K338" s="26"/>
      <c r="L338" s="42" t="s">
        <v>710</v>
      </c>
      <c r="M338" s="55">
        <f>IF(O338&gt;0,O338,DATE(YEAR+1,March,1+7*_4th_weekday_occurrence)-WEEKDAY(DATE(YEAR+1,March,8-Tuesday)))</f>
        <v>45741</v>
      </c>
      <c r="N338" s="41"/>
    </row>
    <row r="339" spans="2:14" x14ac:dyDescent="0.25">
      <c r="B339" s="4">
        <v>1978</v>
      </c>
      <c r="C339" t="s">
        <v>211</v>
      </c>
      <c r="D339" s="8" t="s">
        <v>2</v>
      </c>
      <c r="F339" s="15" t="s">
        <v>98</v>
      </c>
      <c r="G339" s="26"/>
      <c r="H339" s="26"/>
      <c r="I339" s="26"/>
      <c r="J339" s="26"/>
      <c r="K339" s="26"/>
      <c r="L339" s="51" t="s">
        <v>708</v>
      </c>
      <c r="M339" s="5">
        <f>IF(O339&gt;0,O339,DATE(YEAR+1,March,1+7*_4th_weekday_occurrence)-WEEKDAY(DATE(YEAR+1,March,8-Tuesday)))</f>
        <v>45741</v>
      </c>
      <c r="N339" s="41"/>
    </row>
    <row r="340" spans="2:14" x14ac:dyDescent="0.25">
      <c r="B340" s="4">
        <v>1978</v>
      </c>
      <c r="C340" t="s">
        <v>211</v>
      </c>
      <c r="D340" s="8" t="s">
        <v>579</v>
      </c>
      <c r="E340" s="8" t="s">
        <v>225</v>
      </c>
      <c r="F340" s="15" t="s">
        <v>98</v>
      </c>
      <c r="G340" s="26"/>
      <c r="H340" s="26"/>
      <c r="I340" s="26"/>
      <c r="J340" s="26"/>
      <c r="K340" s="26"/>
      <c r="L340" s="51" t="s">
        <v>708</v>
      </c>
      <c r="M340" s="55">
        <f>IF(O340&gt;0,O340,DATE(YEAR+1,March,1+7*_4th_weekday_occurrence)-WEEKDAY(DATE(YEAR+1,March,8-Tuesday)))</f>
        <v>45741</v>
      </c>
      <c r="N340" s="41"/>
    </row>
    <row r="341" spans="2:14" x14ac:dyDescent="0.25">
      <c r="B341" s="4">
        <v>1895</v>
      </c>
      <c r="C341" t="s">
        <v>184</v>
      </c>
      <c r="D341" s="8" t="s">
        <v>2</v>
      </c>
      <c r="F341" s="15" t="s">
        <v>512</v>
      </c>
      <c r="G341" s="26"/>
      <c r="H341" s="26"/>
      <c r="I341" s="26"/>
      <c r="J341" s="26"/>
      <c r="K341" s="26"/>
      <c r="L341" s="5" t="s">
        <v>672</v>
      </c>
      <c r="M341" s="5">
        <f>IF(O341&gt;0,O341,DATE(YEAR+1,March,1+7*_4th_weekday_occurrence)-WEEKDAY(DATE(YEAR+1,March,8-Thursday)))</f>
        <v>45743</v>
      </c>
      <c r="N341" s="41"/>
    </row>
    <row r="342" spans="2:14" x14ac:dyDescent="0.25">
      <c r="B342" s="4">
        <v>104</v>
      </c>
      <c r="C342" t="s">
        <v>195</v>
      </c>
      <c r="D342" s="8" t="s">
        <v>2</v>
      </c>
      <c r="F342" t="s">
        <v>534</v>
      </c>
      <c r="G342" s="5">
        <f>DATE(YEAR+1,March,1+7*_5th_weekday_occurrence)-WEEKDAY(DATE(YEAR+1,March,8-Monday))</f>
        <v>45747</v>
      </c>
      <c r="H342" s="5">
        <f>DATE(YEAR+1,March,1+7*_5th_weekday_occurrence)-WEEKDAY(DATE(YEAR+1,March,8-Tuesday))</f>
        <v>45748</v>
      </c>
      <c r="I342" s="5">
        <f>DATE(YEAR+1,March,1+7*_5th_weekday_occurrence)-WEEKDAY(DATE(YEAR+1,March,8-Wednesday))</f>
        <v>45749</v>
      </c>
      <c r="J342" s="5">
        <f>DATE(YEAR+1,March,1+7*_5th_weekday_occurrence)-WEEKDAY(DATE(YEAR+1,March,8-Thursday))</f>
        <v>45750</v>
      </c>
      <c r="K342" s="5">
        <f>DATE(YEAR+1,March,1+7*_5th_weekday_occurrence)-WEEKDAY(DATE(YEAR+1,March,8-Friday))</f>
        <v>45751</v>
      </c>
      <c r="L342" s="5" t="s">
        <v>710</v>
      </c>
      <c r="M342" s="5">
        <f>IF(O342&gt;0,O342,SMALL(G342:K342,COUNTIF(G342:K342,0)+1))</f>
        <v>45747</v>
      </c>
      <c r="N342" s="41"/>
    </row>
    <row r="343" spans="2:14" x14ac:dyDescent="0.25">
      <c r="B343" s="4">
        <v>104</v>
      </c>
      <c r="C343" t="s">
        <v>195</v>
      </c>
      <c r="D343" s="8" t="s">
        <v>579</v>
      </c>
      <c r="E343" s="8" t="s">
        <v>225</v>
      </c>
      <c r="F343" t="s">
        <v>534</v>
      </c>
      <c r="G343" s="5">
        <f>DATE(YEAR+1,March,1+7*_5th_weekday_occurrence)-WEEKDAY(DATE(YEAR+1,March,8-Monday))</f>
        <v>45747</v>
      </c>
      <c r="H343" s="5">
        <f>DATE(YEAR+1,March,1+7*_5th_weekday_occurrence)-WEEKDAY(DATE(YEAR+1,March,8-Tuesday))</f>
        <v>45748</v>
      </c>
      <c r="I343" s="5">
        <f>DATE(YEAR+1,March,1+7*_5th_weekday_occurrence)-WEEKDAY(DATE(YEAR+1,March,8-Wednesday))</f>
        <v>45749</v>
      </c>
      <c r="J343" s="5">
        <f>DATE(YEAR+1,March,1+7*_5th_weekday_occurrence)-WEEKDAY(DATE(YEAR+1,March,8-Thursday))</f>
        <v>45750</v>
      </c>
      <c r="K343" s="5">
        <f>DATE(YEAR+1,March,1+7*_5th_weekday_occurrence)-WEEKDAY(DATE(YEAR+1,March,8-Friday))</f>
        <v>45751</v>
      </c>
      <c r="L343" s="5" t="s">
        <v>710</v>
      </c>
      <c r="M343" s="55">
        <f>IF(O343&gt;0,O343,SMALL(G343:K343,COUNTIF(G343:K343,0)+1))</f>
        <v>45747</v>
      </c>
      <c r="N343" s="41"/>
    </row>
    <row r="344" spans="2:14" x14ac:dyDescent="0.25">
      <c r="B344" s="4">
        <v>569</v>
      </c>
      <c r="C344" t="s">
        <v>99</v>
      </c>
      <c r="D344" s="8" t="s">
        <v>2</v>
      </c>
      <c r="E344" s="8" t="s">
        <v>225</v>
      </c>
      <c r="F344" s="42" t="s">
        <v>100</v>
      </c>
      <c r="G344" s="26"/>
      <c r="H344" s="26"/>
      <c r="I344" s="26"/>
      <c r="J344" s="26"/>
      <c r="K344" s="26"/>
      <c r="L344" s="26" t="s">
        <v>672</v>
      </c>
      <c r="M344" s="5">
        <f>IF(O344&gt;0,O344,DATE(YEAR+1,April,1+7*_1st_weekday_occurrence)-WEEKDAY(DATE(YEAR+1,April,8-Thursday)))</f>
        <v>45750</v>
      </c>
      <c r="N344" s="41"/>
    </row>
    <row r="345" spans="2:14" x14ac:dyDescent="0.25">
      <c r="B345" s="4">
        <v>569</v>
      </c>
      <c r="C345" t="s">
        <v>99</v>
      </c>
      <c r="D345" s="8" t="s">
        <v>579</v>
      </c>
      <c r="F345" s="42" t="s">
        <v>100</v>
      </c>
      <c r="G345" s="26"/>
      <c r="H345" s="26"/>
      <c r="I345" s="26"/>
      <c r="J345" s="26"/>
      <c r="K345" s="26"/>
      <c r="L345" s="26" t="s">
        <v>672</v>
      </c>
      <c r="M345" s="55">
        <f>IF(O345&gt;0,O345,DATE(YEAR+1,April,1+7*_1st_weekday_occurrence)-WEEKDAY(DATE(YEAR+1,April,8-Thursday)))</f>
        <v>45750</v>
      </c>
      <c r="N345" s="41"/>
    </row>
    <row r="346" spans="2:14" x14ac:dyDescent="0.25">
      <c r="B346" s="4">
        <v>1473</v>
      </c>
      <c r="C346" t="s">
        <v>101</v>
      </c>
      <c r="D346" s="8" t="s">
        <v>2</v>
      </c>
      <c r="E346" s="8" t="s">
        <v>225</v>
      </c>
      <c r="F346" s="42" t="s">
        <v>100</v>
      </c>
      <c r="G346" s="26"/>
      <c r="H346" s="26"/>
      <c r="I346" s="26"/>
      <c r="J346" s="26"/>
      <c r="K346" s="26"/>
      <c r="L346" s="26" t="s">
        <v>672</v>
      </c>
      <c r="M346" s="5">
        <f>IF(O346&gt;0,O346,DATE(YEAR+1,April,1+7*_1st_weekday_occurrence)-WEEKDAY(DATE(YEAR+1,April,8-Thursday)))</f>
        <v>45750</v>
      </c>
      <c r="N346" s="41"/>
    </row>
    <row r="347" spans="2:14" x14ac:dyDescent="0.25">
      <c r="B347" s="4">
        <v>1473</v>
      </c>
      <c r="C347" t="s">
        <v>101</v>
      </c>
      <c r="D347" s="8" t="s">
        <v>579</v>
      </c>
      <c r="F347" s="42" t="s">
        <v>100</v>
      </c>
      <c r="G347" s="26"/>
      <c r="H347" s="26"/>
      <c r="I347" s="26"/>
      <c r="J347" s="26"/>
      <c r="K347" s="26"/>
      <c r="L347" s="26" t="s">
        <v>672</v>
      </c>
      <c r="M347" s="55">
        <f>IF(O347&gt;0,O347,DATE(YEAR+1,April,1+7*_1st_weekday_occurrence)-WEEKDAY(DATE(YEAR+1,April,8-Thursday)))</f>
        <v>45750</v>
      </c>
      <c r="N347" s="41"/>
    </row>
    <row r="348" spans="2:14" x14ac:dyDescent="0.25">
      <c r="B348" s="4">
        <v>1909</v>
      </c>
      <c r="C348" t="s">
        <v>102</v>
      </c>
      <c r="D348" s="8" t="s">
        <v>2</v>
      </c>
      <c r="E348" s="8" t="s">
        <v>225</v>
      </c>
      <c r="F348" s="42" t="s">
        <v>103</v>
      </c>
      <c r="G348" s="26"/>
      <c r="H348" s="26"/>
      <c r="I348" s="26"/>
      <c r="J348" s="26"/>
      <c r="K348" s="26"/>
      <c r="L348" s="5" t="s">
        <v>710</v>
      </c>
      <c r="M348" s="5">
        <f>IF(O348&gt;0,O348,DATE(YEAR+1,April,1+7*_1st_weekday_occurrence)-WEEKDAY(DATE(YEAR+1,April,8-Saturday)))</f>
        <v>45752</v>
      </c>
      <c r="N348" s="41"/>
    </row>
    <row r="349" spans="2:14" x14ac:dyDescent="0.25">
      <c r="B349" s="4">
        <v>1909</v>
      </c>
      <c r="C349" t="s">
        <v>102</v>
      </c>
      <c r="D349" s="8" t="s">
        <v>579</v>
      </c>
      <c r="F349" s="42" t="s">
        <v>103</v>
      </c>
      <c r="G349" s="26"/>
      <c r="H349" s="26"/>
      <c r="I349" s="26"/>
      <c r="J349" s="26"/>
      <c r="K349" s="26"/>
      <c r="L349" s="5" t="s">
        <v>710</v>
      </c>
      <c r="M349" s="55">
        <f>IF(O349&gt;0,O349,DATE(YEAR+1,April,1+7*_1st_weekday_occurrence)-WEEKDAY(DATE(YEAR+1,April,8-Saturday)))</f>
        <v>45752</v>
      </c>
      <c r="N349" s="41"/>
    </row>
    <row r="350" spans="2:14" x14ac:dyDescent="0.25">
      <c r="B350" s="4">
        <v>234</v>
      </c>
      <c r="C350" t="s">
        <v>104</v>
      </c>
      <c r="D350" s="8" t="s">
        <v>2</v>
      </c>
      <c r="E350" s="8" t="s">
        <v>225</v>
      </c>
      <c r="F350" s="42" t="s">
        <v>105</v>
      </c>
      <c r="G350" s="26"/>
      <c r="H350" s="26"/>
      <c r="I350" s="26"/>
      <c r="J350" s="26"/>
      <c r="K350" s="26"/>
      <c r="L350" s="26" t="s">
        <v>672</v>
      </c>
      <c r="M350" s="44">
        <f>IF(O350&gt;0,O350,DATE(YEAR+1,April,1+7*_2nd_weekday_occurrence)-WEEKDAY(DATE(YEAR+1,April,8-Tuesday)))</f>
        <v>45755</v>
      </c>
      <c r="N350" s="41"/>
    </row>
    <row r="351" spans="2:14" x14ac:dyDescent="0.25">
      <c r="B351" s="4">
        <v>234</v>
      </c>
      <c r="C351" t="s">
        <v>104</v>
      </c>
      <c r="D351" s="8" t="s">
        <v>579</v>
      </c>
      <c r="F351" s="42" t="s">
        <v>105</v>
      </c>
      <c r="G351" s="26"/>
      <c r="H351" s="26"/>
      <c r="I351" s="26"/>
      <c r="J351" s="26"/>
      <c r="K351" s="26"/>
      <c r="L351" s="26" t="s">
        <v>672</v>
      </c>
      <c r="M351" s="44">
        <f>IF(O351&gt;0,O351,DATE(YEAR+1,April,1+7*_2nd_weekday_occurrence)-WEEKDAY(DATE(YEAR+1,April,8-Tuesday)))</f>
        <v>45755</v>
      </c>
      <c r="N351" s="41"/>
    </row>
    <row r="352" spans="2:14" x14ac:dyDescent="0.25">
      <c r="B352" s="4">
        <v>835</v>
      </c>
      <c r="C352" t="s">
        <v>106</v>
      </c>
      <c r="D352" s="8" t="s">
        <v>2</v>
      </c>
      <c r="E352" s="8" t="s">
        <v>225</v>
      </c>
      <c r="F352" s="42" t="s">
        <v>105</v>
      </c>
      <c r="G352" s="26"/>
      <c r="H352" s="26"/>
      <c r="I352" s="26"/>
      <c r="J352" s="26"/>
      <c r="K352" s="26"/>
      <c r="L352" s="26" t="s">
        <v>672</v>
      </c>
      <c r="M352" s="5">
        <f>IF(O352&gt;0,O352,DATE(YEAR+1,April,1+7*_2nd_weekday_occurrence)-WEEKDAY(DATE(YEAR+1,April,8-Tuesday)))</f>
        <v>45755</v>
      </c>
      <c r="N352" s="41"/>
    </row>
    <row r="353" spans="2:14" x14ac:dyDescent="0.25">
      <c r="B353" s="4">
        <v>487</v>
      </c>
      <c r="C353" t="s">
        <v>46</v>
      </c>
      <c r="D353" s="8" t="s">
        <v>579</v>
      </c>
      <c r="E353" s="8" t="s">
        <v>225</v>
      </c>
      <c r="F353" s="42" t="s">
        <v>481</v>
      </c>
      <c r="G353" s="26"/>
      <c r="H353" s="26"/>
      <c r="I353" s="26"/>
      <c r="J353" s="26"/>
      <c r="K353" s="26"/>
      <c r="L353" s="5" t="s">
        <v>710</v>
      </c>
      <c r="M353" s="55">
        <f>IF(O353&gt;0,O353,DATE(YEAR+1,April,1+7*_2nd_weekday_occurrence)-WEEKDAY(DATE(YEAR+1,April,8-Wednesday)))</f>
        <v>45756</v>
      </c>
      <c r="N353" s="41"/>
    </row>
    <row r="354" spans="2:14" x14ac:dyDescent="0.25">
      <c r="B354" s="4">
        <v>856</v>
      </c>
      <c r="C354" t="s">
        <v>66</v>
      </c>
      <c r="D354" s="8" t="s">
        <v>2</v>
      </c>
      <c r="F354" s="14" t="s">
        <v>481</v>
      </c>
      <c r="G354" s="26"/>
      <c r="H354" s="26"/>
      <c r="I354" s="26"/>
      <c r="J354" s="26"/>
      <c r="K354" s="26"/>
      <c r="L354" t="s">
        <v>693</v>
      </c>
      <c r="M354" s="5">
        <f>IF(O354&gt;0,O354,DATE(YEAR+1,April,1+7*_2nd_weekday_occurrence)-WEEKDAY(DATE(YEAR+1,April,8-Wednesday)))</f>
        <v>45756</v>
      </c>
      <c r="N354" s="41"/>
    </row>
    <row r="355" spans="2:14" x14ac:dyDescent="0.25">
      <c r="B355" s="4">
        <v>856</v>
      </c>
      <c r="C355" t="s">
        <v>66</v>
      </c>
      <c r="D355" s="8" t="s">
        <v>579</v>
      </c>
      <c r="E355" s="8" t="s">
        <v>225</v>
      </c>
      <c r="F355" s="14" t="s">
        <v>481</v>
      </c>
      <c r="G355" s="26"/>
      <c r="H355" s="26"/>
      <c r="I355" s="26"/>
      <c r="J355" s="26"/>
      <c r="K355" s="26"/>
      <c r="L355" t="s">
        <v>693</v>
      </c>
      <c r="M355" s="55">
        <f>IF(O355&gt;0,O355,DATE(YEAR+1,April,1+7*_2nd_weekday_occurrence)-WEEKDAY(DATE(YEAR+1,April,8-Wednesday)))</f>
        <v>45756</v>
      </c>
      <c r="N355" s="41"/>
    </row>
    <row r="356" spans="2:14" x14ac:dyDescent="0.25">
      <c r="B356" s="4">
        <v>2014</v>
      </c>
      <c r="C356" t="s">
        <v>201</v>
      </c>
      <c r="D356" s="8" t="s">
        <v>2</v>
      </c>
      <c r="F356" s="14" t="s">
        <v>520</v>
      </c>
      <c r="G356" s="26"/>
      <c r="H356" s="26"/>
      <c r="I356" s="26"/>
      <c r="J356" s="26"/>
      <c r="K356" s="26"/>
      <c r="L356" s="5" t="s">
        <v>709</v>
      </c>
      <c r="M356" s="5">
        <f>IF(O356&gt;0,O356,DATE(YEAR+1,April,1+7*_2nd_weekday_occurrence)-WEEKDAY(DATE(YEAR+1,April,8-Thursday)))</f>
        <v>45757</v>
      </c>
    </row>
    <row r="357" spans="2:14" x14ac:dyDescent="0.25">
      <c r="B357" s="4">
        <v>2013</v>
      </c>
      <c r="C357" t="s">
        <v>196</v>
      </c>
      <c r="D357" s="8" t="s">
        <v>2</v>
      </c>
      <c r="F357" s="15" t="s">
        <v>519</v>
      </c>
      <c r="L357" s="51" t="s">
        <v>673</v>
      </c>
      <c r="M357" s="44">
        <f>IF(O357&gt;0,O357,DATE(YEAR+1,April,1+7*_2nd_weekday_occurrence)-WEEKDAY(DATE(YEAR+1,April,8-Friday)))</f>
        <v>45758</v>
      </c>
    </row>
    <row r="358" spans="2:14" x14ac:dyDescent="0.25">
      <c r="B358" s="4">
        <v>2013</v>
      </c>
      <c r="C358" t="s">
        <v>196</v>
      </c>
      <c r="D358" s="8" t="s">
        <v>579</v>
      </c>
      <c r="F358" s="15" t="s">
        <v>519</v>
      </c>
      <c r="L358" s="51" t="s">
        <v>673</v>
      </c>
      <c r="M358" s="44">
        <f>IF(O358&gt;0,O358,DATE(YEAR+1,April,1+7*_2nd_weekday_occurrence)-WEEKDAY(DATE(YEAR+1,April,8-Friday)))</f>
        <v>45758</v>
      </c>
    </row>
    <row r="359" spans="2:14" x14ac:dyDescent="0.25">
      <c r="B359" s="4">
        <v>2042</v>
      </c>
      <c r="C359" t="s">
        <v>699</v>
      </c>
      <c r="D359" s="8" t="s">
        <v>2</v>
      </c>
      <c r="F359" s="15" t="s">
        <v>519</v>
      </c>
      <c r="L359" s="51" t="s">
        <v>708</v>
      </c>
      <c r="M359" s="5">
        <f>IF(O359&gt;0,O359,DATE(YEAR+1,April,1+7*_2nd_weekday_occurrence)-WEEKDAY(DATE(YEAR+1,April,8-Friday)))</f>
        <v>45758</v>
      </c>
    </row>
    <row r="360" spans="2:14" x14ac:dyDescent="0.25">
      <c r="B360" s="4">
        <v>1071</v>
      </c>
      <c r="C360" t="s">
        <v>141</v>
      </c>
      <c r="D360" s="8" t="s">
        <v>2</v>
      </c>
      <c r="F360" s="15" t="s">
        <v>485</v>
      </c>
      <c r="G360" s="26"/>
      <c r="H360" s="26"/>
      <c r="I360" s="26"/>
      <c r="J360" s="26"/>
      <c r="K360" s="26"/>
      <c r="L360" t="s">
        <v>710</v>
      </c>
      <c r="M360" s="5">
        <f>IF(O360&gt;0,O360,DATE(YEAR+1,April,1+7*_3rd_weekday_occurrence)-WEEKDAY(DATE(YEAR+1,April,8-Tuesday)))</f>
        <v>45762</v>
      </c>
      <c r="N360" s="41"/>
    </row>
    <row r="361" spans="2:14" x14ac:dyDescent="0.25">
      <c r="B361" s="4">
        <v>1071</v>
      </c>
      <c r="C361" t="s">
        <v>141</v>
      </c>
      <c r="D361" s="8" t="s">
        <v>579</v>
      </c>
      <c r="F361" s="42" t="s">
        <v>485</v>
      </c>
      <c r="G361" s="26"/>
      <c r="H361" s="26"/>
      <c r="I361" s="26"/>
      <c r="J361" s="26"/>
      <c r="K361" s="26"/>
      <c r="L361" t="s">
        <v>710</v>
      </c>
      <c r="M361" s="55">
        <f>IF(O361&gt;0,O361,DATE(YEAR+1,April,1+7*_3rd_weekday_occurrence)-WEEKDAY(DATE(YEAR+1,April,8-Tuesday)))</f>
        <v>45762</v>
      </c>
      <c r="N361" s="41"/>
    </row>
    <row r="362" spans="2:14" x14ac:dyDescent="0.25">
      <c r="B362" s="4">
        <v>5</v>
      </c>
      <c r="C362" t="s">
        <v>178</v>
      </c>
      <c r="D362" s="8" t="s">
        <v>2</v>
      </c>
      <c r="F362" s="14" t="s">
        <v>108</v>
      </c>
      <c r="L362" t="s">
        <v>708</v>
      </c>
      <c r="M362" s="5">
        <f>IF(O362&gt;0,O362,DATE(YEAR+1,April,1+7*_3rd_weekday_occurrence)-WEEKDAY(DATE(YEAR+1,April,8-Wednesday)))</f>
        <v>45763</v>
      </c>
      <c r="N362" s="41"/>
    </row>
    <row r="363" spans="2:14" x14ac:dyDescent="0.25">
      <c r="B363" s="4">
        <v>5</v>
      </c>
      <c r="C363" t="s">
        <v>178</v>
      </c>
      <c r="D363" s="8" t="s">
        <v>579</v>
      </c>
      <c r="F363" s="14" t="s">
        <v>108</v>
      </c>
      <c r="L363" s="51" t="s">
        <v>708</v>
      </c>
      <c r="M363" s="55">
        <f>IF(O363&gt;0,O363,DATE(YEAR+1,April,1+7*_3rd_weekday_occurrence)-WEEKDAY(DATE(YEAR+1,April,8-Wednesday)))</f>
        <v>45763</v>
      </c>
      <c r="N363" s="41"/>
    </row>
    <row r="364" spans="2:14" x14ac:dyDescent="0.25">
      <c r="B364" s="4">
        <v>899</v>
      </c>
      <c r="C364" t="s">
        <v>107</v>
      </c>
      <c r="D364" s="8" t="s">
        <v>2</v>
      </c>
      <c r="E364" s="8" t="s">
        <v>225</v>
      </c>
      <c r="F364" s="42" t="s">
        <v>108</v>
      </c>
      <c r="G364" s="26"/>
      <c r="H364" s="26"/>
      <c r="I364" s="26"/>
      <c r="J364" s="26"/>
      <c r="K364" s="26"/>
      <c r="L364" t="s">
        <v>708</v>
      </c>
      <c r="M364" s="5">
        <f>IF(O364&gt;0,O364,DATE(YEAR+1,April,1+7*_3rd_weekday_occurrence)-WEEKDAY(DATE(YEAR+1,April,8-Wednesday)))</f>
        <v>45763</v>
      </c>
      <c r="N364" s="41"/>
    </row>
    <row r="365" spans="2:14" x14ac:dyDescent="0.25">
      <c r="B365" s="4">
        <v>239</v>
      </c>
      <c r="C365" t="s">
        <v>12</v>
      </c>
      <c r="D365" s="8" t="s">
        <v>2</v>
      </c>
      <c r="F365" s="15" t="s">
        <v>452</v>
      </c>
      <c r="G365" s="26"/>
      <c r="H365" s="26"/>
      <c r="I365" s="26"/>
      <c r="J365" s="26"/>
      <c r="K365" s="26"/>
      <c r="L365" s="51" t="s">
        <v>673</v>
      </c>
      <c r="M365" s="44">
        <f>IF(O365&gt;0,O365,DATE(YEAR+1,April,1+7*_3rd_weekday_occurrence)-WEEKDAY(DATE(YEAR+1,April,8-Thursday)))</f>
        <v>45764</v>
      </c>
      <c r="N365" s="41"/>
    </row>
    <row r="366" spans="2:14" x14ac:dyDescent="0.25">
      <c r="B366" s="4">
        <v>239</v>
      </c>
      <c r="C366" t="s">
        <v>12</v>
      </c>
      <c r="D366" s="8" t="s">
        <v>579</v>
      </c>
      <c r="F366" s="15" t="s">
        <v>452</v>
      </c>
      <c r="G366" s="26"/>
      <c r="H366" s="26"/>
      <c r="I366" s="26"/>
      <c r="J366" s="26"/>
      <c r="K366" s="26"/>
      <c r="L366" s="51" t="s">
        <v>673</v>
      </c>
      <c r="M366" s="44">
        <f>IF(O366&gt;0,O366,DATE(YEAR+1,April,1+7*_3rd_weekday_occurrence)-WEEKDAY(DATE(YEAR+1,April,8-Thursday)))</f>
        <v>45764</v>
      </c>
      <c r="N366" s="41"/>
    </row>
    <row r="367" spans="2:14" x14ac:dyDescent="0.25">
      <c r="B367" s="4">
        <v>1074</v>
      </c>
      <c r="C367" t="s">
        <v>109</v>
      </c>
      <c r="D367" s="8" t="s">
        <v>2</v>
      </c>
      <c r="E367" s="8" t="s">
        <v>225</v>
      </c>
      <c r="F367" s="42" t="s">
        <v>110</v>
      </c>
      <c r="G367" s="26"/>
      <c r="H367" s="26"/>
      <c r="I367" s="26"/>
      <c r="J367" s="26"/>
      <c r="K367" s="26"/>
      <c r="L367" t="s">
        <v>693</v>
      </c>
      <c r="M367" s="5">
        <f>IF(O367&gt;0,O367,DATE(YEAR+1,April,1+7*_3rd_weekday_occurrence)-WEEKDAY(DATE(YEAR+1,April,8-Thursday)))</f>
        <v>45764</v>
      </c>
      <c r="N367" s="41"/>
    </row>
    <row r="368" spans="2:14" x14ac:dyDescent="0.25">
      <c r="B368" s="4" t="s">
        <v>181</v>
      </c>
      <c r="C368" t="s">
        <v>182</v>
      </c>
      <c r="D368" s="8" t="s">
        <v>2</v>
      </c>
      <c r="F368" s="15" t="s">
        <v>452</v>
      </c>
      <c r="G368" s="26"/>
      <c r="H368" s="26"/>
      <c r="I368" s="26"/>
      <c r="J368" s="26"/>
      <c r="K368" s="26"/>
      <c r="L368" s="26" t="s">
        <v>672</v>
      </c>
      <c r="M368" s="44">
        <f>IF(O368&gt;0,O368,DATE(YEAR+1,April,1+7*_3rd_weekday_occurrence)-WEEKDAY(DATE(YEAR+1,April,8-Thursday)))</f>
        <v>45764</v>
      </c>
    </row>
    <row r="369" spans="2:14" x14ac:dyDescent="0.25">
      <c r="B369" s="4" t="s">
        <v>181</v>
      </c>
      <c r="C369" t="s">
        <v>182</v>
      </c>
      <c r="D369" s="8" t="s">
        <v>579</v>
      </c>
      <c r="F369" s="15" t="s">
        <v>452</v>
      </c>
      <c r="G369" s="26"/>
      <c r="H369" s="26"/>
      <c r="I369" s="26"/>
      <c r="J369" s="26"/>
      <c r="K369" s="26"/>
      <c r="L369" s="26" t="s">
        <v>672</v>
      </c>
      <c r="M369" s="44">
        <f>IF(O364&gt;0,O364,DATE(YEAR+1,April,1+7*_3rd_weekday_occurrence)-WEEKDAY(DATE(YEAR+1,April,8-Thursday)))</f>
        <v>45764</v>
      </c>
    </row>
    <row r="370" spans="2:14" x14ac:dyDescent="0.25">
      <c r="B370" s="4">
        <v>433</v>
      </c>
      <c r="C370" t="s">
        <v>220</v>
      </c>
      <c r="D370" s="8" t="s">
        <v>2</v>
      </c>
      <c r="F370" s="15" t="s">
        <v>461</v>
      </c>
      <c r="G370" s="26"/>
      <c r="H370" s="26"/>
      <c r="I370" s="26"/>
      <c r="J370" s="26"/>
      <c r="K370" s="26"/>
      <c r="L370" s="51" t="s">
        <v>673</v>
      </c>
      <c r="M370" s="5">
        <f>IF(O370&gt;0,O370,DATE(YEAR+1,April,1+7*_3rd_weekday_occurrence)-WEEKDAY(DATE(YEAR+1,April,8-Friday)))</f>
        <v>45765</v>
      </c>
      <c r="N370" s="41"/>
    </row>
    <row r="371" spans="2:14" x14ac:dyDescent="0.25">
      <c r="B371" s="4">
        <v>433</v>
      </c>
      <c r="C371" t="s">
        <v>220</v>
      </c>
      <c r="D371" s="8" t="s">
        <v>579</v>
      </c>
      <c r="E371" s="8" t="s">
        <v>225</v>
      </c>
      <c r="F371" s="15" t="s">
        <v>461</v>
      </c>
      <c r="G371" s="26"/>
      <c r="H371" s="26"/>
      <c r="I371" s="26"/>
      <c r="J371" s="26"/>
      <c r="K371" s="26"/>
      <c r="L371" s="51" t="s">
        <v>673</v>
      </c>
      <c r="M371" s="55">
        <f>IF(O371&gt;0,O371,DATE(YEAR+1,April,1+7*_3rd_weekday_occurrence)-WEEKDAY(DATE(YEAR+1,April,8-Friday)))</f>
        <v>45765</v>
      </c>
      <c r="N371" s="41"/>
    </row>
    <row r="372" spans="2:14" x14ac:dyDescent="0.25">
      <c r="B372" s="4">
        <v>8</v>
      </c>
      <c r="C372" t="s">
        <v>180</v>
      </c>
      <c r="D372" s="8" t="s">
        <v>2</v>
      </c>
      <c r="F372" s="15" t="s">
        <v>440</v>
      </c>
      <c r="L372" t="s">
        <v>693</v>
      </c>
      <c r="M372" s="5">
        <f>IF(O372&gt;0,O372,DATE(YEAR+1,April,1+7*_3rd_weekday_occurrence)-WEEKDAY(DATE(YEAR+1,April,8-Monday)))</f>
        <v>45768</v>
      </c>
    </row>
    <row r="373" spans="2:14" x14ac:dyDescent="0.25">
      <c r="B373" s="4">
        <v>8</v>
      </c>
      <c r="C373" t="s">
        <v>180</v>
      </c>
      <c r="D373" s="8" t="s">
        <v>579</v>
      </c>
      <c r="E373" s="8" t="s">
        <v>225</v>
      </c>
      <c r="F373" s="15" t="s">
        <v>440</v>
      </c>
      <c r="L373" t="s">
        <v>693</v>
      </c>
      <c r="M373" s="55">
        <f>IF(O373&gt;0,O373,DATE(YEAR+1,April,1+7*_3rd_weekday_occurrence)-WEEKDAY(DATE(YEAR+1,April,8-Monday)))</f>
        <v>45768</v>
      </c>
    </row>
    <row r="374" spans="2:14" x14ac:dyDescent="0.25">
      <c r="B374" s="4">
        <v>459</v>
      </c>
      <c r="C374" t="s">
        <v>137</v>
      </c>
      <c r="D374" s="8" t="s">
        <v>2</v>
      </c>
      <c r="F374" s="14" t="s">
        <v>440</v>
      </c>
      <c r="G374" s="26"/>
      <c r="H374" s="26"/>
      <c r="I374" s="26"/>
      <c r="J374" s="26"/>
      <c r="K374" s="26"/>
      <c r="L374" s="42" t="s">
        <v>672</v>
      </c>
      <c r="M374" s="5">
        <f>IF(O374&gt;0,O374,DATE(YEAR+1,April,1+7*_3rd_weekday_occurrence)-WEEKDAY(DATE(YEAR+1,April,8-Monday)))</f>
        <v>45768</v>
      </c>
      <c r="N374" s="41"/>
    </row>
    <row r="375" spans="2:14" x14ac:dyDescent="0.25">
      <c r="B375" s="4">
        <v>459</v>
      </c>
      <c r="C375" t="s">
        <v>137</v>
      </c>
      <c r="D375" s="8" t="s">
        <v>579</v>
      </c>
      <c r="F375" s="14" t="s">
        <v>440</v>
      </c>
      <c r="G375" s="26"/>
      <c r="H375" s="26"/>
      <c r="I375" s="26"/>
      <c r="J375" s="26"/>
      <c r="K375" s="26"/>
      <c r="L375" s="42" t="s">
        <v>672</v>
      </c>
      <c r="M375" s="55">
        <f>IF(O375&gt;0,O375,DATE(YEAR+1,April,1+7*_3rd_weekday_occurrence)-WEEKDAY(DATE(YEAR+1,April,8-Monday)))</f>
        <v>45768</v>
      </c>
      <c r="N375" s="41"/>
    </row>
    <row r="376" spans="2:14" x14ac:dyDescent="0.25">
      <c r="B376" s="4" t="s">
        <v>138</v>
      </c>
      <c r="C376" t="s">
        <v>139</v>
      </c>
      <c r="D376" s="8" t="s">
        <v>579</v>
      </c>
      <c r="F376" s="42" t="s">
        <v>669</v>
      </c>
      <c r="G376" s="26"/>
      <c r="H376" s="26"/>
      <c r="I376" s="26"/>
      <c r="J376" s="26"/>
      <c r="K376" s="26"/>
      <c r="L376" s="51" t="s">
        <v>673</v>
      </c>
      <c r="M376" s="55">
        <f>IF(O373&gt;0,O373,DATE(YEAR+1,April,1+7*_4th_weekday_occurrence)-WEEKDAY(DATE(YEAR+1,April,8-Tuesday)))</f>
        <v>45769</v>
      </c>
    </row>
    <row r="377" spans="2:14" x14ac:dyDescent="0.25">
      <c r="B377" s="4">
        <v>1</v>
      </c>
      <c r="C377" t="s">
        <v>64</v>
      </c>
      <c r="D377" s="8" t="s">
        <v>2</v>
      </c>
      <c r="F377" s="14" t="s">
        <v>433</v>
      </c>
      <c r="L377" s="42" t="s">
        <v>709</v>
      </c>
      <c r="M377" s="5">
        <f>IF(O377&gt;0,O377,DATE(YEAR+1,April,1+7*_4th_weekday_occurrence)-WEEKDAY(DATE(YEAR+1,April,8-Wednesday)))</f>
        <v>45770</v>
      </c>
      <c r="N377" s="41"/>
    </row>
    <row r="378" spans="2:14" x14ac:dyDescent="0.25">
      <c r="B378" s="4">
        <v>936</v>
      </c>
      <c r="C378" t="s">
        <v>165</v>
      </c>
      <c r="D378" s="8" t="s">
        <v>2</v>
      </c>
      <c r="F378" s="14" t="s">
        <v>433</v>
      </c>
      <c r="G378" s="26"/>
      <c r="H378" s="26"/>
      <c r="I378" s="26"/>
      <c r="J378" s="26"/>
      <c r="K378" s="26"/>
      <c r="L378" t="s">
        <v>693</v>
      </c>
      <c r="M378" s="5">
        <f>IF(O378&gt;0,O378,DATE(YEAR+1,April,1+7*_4th_weekday_occurrence)-WEEKDAY(DATE(YEAR+1,April,8-Wednesday)))</f>
        <v>45770</v>
      </c>
      <c r="N378" s="41"/>
    </row>
    <row r="379" spans="2:14" x14ac:dyDescent="0.25">
      <c r="B379" s="4">
        <v>936</v>
      </c>
      <c r="C379" t="s">
        <v>165</v>
      </c>
      <c r="D379" s="8" t="s">
        <v>579</v>
      </c>
      <c r="E379" s="8" t="s">
        <v>225</v>
      </c>
      <c r="F379" s="14" t="s">
        <v>433</v>
      </c>
      <c r="G379" s="26"/>
      <c r="H379" s="26"/>
      <c r="I379" s="26"/>
      <c r="J379" s="26"/>
      <c r="K379" s="26"/>
      <c r="L379" t="s">
        <v>693</v>
      </c>
      <c r="M379" s="55">
        <f>IF(O379&gt;0,O379,DATE(YEAR+1,April,1+7*_4th_weekday_occurrence)-WEEKDAY(DATE(YEAR+1,April,8-Wednesday)))</f>
        <v>45770</v>
      </c>
      <c r="N379" s="41"/>
    </row>
    <row r="380" spans="2:14" x14ac:dyDescent="0.25">
      <c r="B380" s="4">
        <v>802</v>
      </c>
      <c r="C380" t="s">
        <v>169</v>
      </c>
      <c r="D380" s="8" t="s">
        <v>2</v>
      </c>
      <c r="F380" s="15" t="s">
        <v>476</v>
      </c>
      <c r="G380" s="26"/>
      <c r="H380" s="26"/>
      <c r="I380" s="26"/>
      <c r="J380" s="26"/>
      <c r="K380" s="26"/>
      <c r="L380" s="42" t="s">
        <v>709</v>
      </c>
      <c r="M380" s="5">
        <f>IF(O380&gt;0,O380,DATE(YEAR+1,April,1+7*_4th_weekday_occurrence)-WEEKDAY(DATE(YEAR+1,April,8-Thursday)))</f>
        <v>45771</v>
      </c>
      <c r="N380" s="41"/>
    </row>
    <row r="381" spans="2:14" x14ac:dyDescent="0.25">
      <c r="B381" s="4">
        <v>802</v>
      </c>
      <c r="C381" t="s">
        <v>169</v>
      </c>
      <c r="D381" s="8" t="s">
        <v>579</v>
      </c>
      <c r="E381" s="8" t="s">
        <v>225</v>
      </c>
      <c r="F381" s="15" t="s">
        <v>476</v>
      </c>
      <c r="G381" s="26"/>
      <c r="H381" s="26"/>
      <c r="I381" s="26"/>
      <c r="J381" s="26"/>
      <c r="K381" s="26"/>
      <c r="L381" s="42" t="s">
        <v>709</v>
      </c>
      <c r="M381" s="55">
        <f>IF(O381&gt;0,O381,DATE(YEAR+1,April,1+7*_4th_weekday_occurrence)-WEEKDAY(DATE(YEAR+1,April,8-Thursday)))</f>
        <v>45771</v>
      </c>
      <c r="N381" s="41"/>
    </row>
    <row r="382" spans="2:14" x14ac:dyDescent="0.25">
      <c r="B382" s="4">
        <v>828</v>
      </c>
      <c r="C382" t="s">
        <v>111</v>
      </c>
      <c r="D382" s="8" t="s">
        <v>2</v>
      </c>
      <c r="E382" s="8" t="s">
        <v>225</v>
      </c>
      <c r="F382" s="42" t="s">
        <v>112</v>
      </c>
      <c r="G382" s="26"/>
      <c r="H382" s="26"/>
      <c r="I382" s="26"/>
      <c r="J382" s="26"/>
      <c r="K382" s="26"/>
      <c r="L382" t="s">
        <v>709</v>
      </c>
      <c r="M382" s="5">
        <f>IF(O382&gt;0,O382,DATE(YEAR+1,April,1+7*_4th_weekday_occurrence)-WEEKDAY(DATE(YEAR+1,April,8-Thursday)))</f>
        <v>45771</v>
      </c>
      <c r="N382" s="41"/>
    </row>
    <row r="383" spans="2:14" x14ac:dyDescent="0.25">
      <c r="B383" s="4">
        <v>1363</v>
      </c>
      <c r="C383" t="s">
        <v>28</v>
      </c>
      <c r="D383" s="8" t="s">
        <v>2</v>
      </c>
      <c r="F383" s="14" t="s">
        <v>114</v>
      </c>
      <c r="G383" s="26"/>
      <c r="H383" s="26"/>
      <c r="I383" s="26"/>
      <c r="J383" s="26"/>
      <c r="K383" s="26"/>
      <c r="L383" s="5" t="s">
        <v>710</v>
      </c>
      <c r="M383" s="5">
        <f>IF(O383&gt;0,O383,DATE(YEAR+1,April,1+7*_4th_weekday_occurrence)-WEEKDAY(DATE(YEAR+1,April,8-Friday)))</f>
        <v>45772</v>
      </c>
      <c r="N383" s="41"/>
    </row>
    <row r="384" spans="2:14" x14ac:dyDescent="0.25">
      <c r="B384" s="4">
        <v>1363</v>
      </c>
      <c r="C384" t="s">
        <v>28</v>
      </c>
      <c r="D384" s="8" t="s">
        <v>579</v>
      </c>
      <c r="F384" s="14" t="s">
        <v>114</v>
      </c>
      <c r="G384" s="26"/>
      <c r="H384" s="26"/>
      <c r="I384" s="26"/>
      <c r="J384" s="26"/>
      <c r="K384" s="26"/>
      <c r="L384" s="5" t="s">
        <v>710</v>
      </c>
      <c r="M384" s="55">
        <f>IF(O384&gt;0,O384,DATE(YEAR+1,April,1+7*_4th_weekday_occurrence)-WEEKDAY(DATE(YEAR+1,April,8-Friday)))</f>
        <v>45772</v>
      </c>
      <c r="N384" s="41"/>
    </row>
    <row r="385" spans="2:14" x14ac:dyDescent="0.25">
      <c r="B385" s="4">
        <v>1989</v>
      </c>
      <c r="C385" t="s">
        <v>113</v>
      </c>
      <c r="D385" s="8" t="s">
        <v>2</v>
      </c>
      <c r="E385" s="8" t="s">
        <v>225</v>
      </c>
      <c r="F385" s="42" t="s">
        <v>114</v>
      </c>
      <c r="G385" s="26"/>
      <c r="H385" s="26"/>
      <c r="I385" s="26"/>
      <c r="J385" s="26"/>
      <c r="K385" s="26"/>
      <c r="L385" t="s">
        <v>693</v>
      </c>
      <c r="M385" s="5">
        <f>IF(O385&gt;0,O385,DATE(YEAR+1,April,1+7*_4th_weekday_occurrence)-WEEKDAY(DATE(YEAR+1,April,8-Friday)))</f>
        <v>45772</v>
      </c>
      <c r="N385" s="41"/>
    </row>
    <row r="386" spans="2:14" x14ac:dyDescent="0.25">
      <c r="B386" s="4">
        <v>2022</v>
      </c>
      <c r="C386" t="s">
        <v>163</v>
      </c>
      <c r="D386" s="8" t="s">
        <v>2</v>
      </c>
      <c r="F386" s="14" t="s">
        <v>521</v>
      </c>
      <c r="G386" s="26"/>
      <c r="H386" s="26"/>
      <c r="I386" s="26"/>
      <c r="J386" s="26"/>
      <c r="K386" s="26"/>
      <c r="L386" s="5" t="s">
        <v>710</v>
      </c>
      <c r="M386" s="5">
        <f>IF(O386&gt;0,O386,DATE(YEAR+1,April,1+7*_4th_weekday_occurrence)-WEEKDAY(DATE(YEAR+1,April,8-Saturday)))</f>
        <v>45773</v>
      </c>
    </row>
    <row r="387" spans="2:14" x14ac:dyDescent="0.25">
      <c r="B387" s="4">
        <v>2022</v>
      </c>
      <c r="C387" t="s">
        <v>163</v>
      </c>
      <c r="D387" s="8" t="s">
        <v>579</v>
      </c>
      <c r="F387" s="14" t="s">
        <v>521</v>
      </c>
      <c r="G387" s="26"/>
      <c r="H387" s="26"/>
      <c r="I387" s="26"/>
      <c r="J387" s="26"/>
      <c r="K387" s="26"/>
      <c r="L387" s="5" t="s">
        <v>710</v>
      </c>
      <c r="M387" s="55">
        <f>IF(O387&gt;0,O387,DATE(YEAR+1,April,1+7*_4th_weekday_occurrence)-WEEKDAY(DATE(YEAR+1,April,8-Saturday)))</f>
        <v>45773</v>
      </c>
    </row>
    <row r="388" spans="2:14" x14ac:dyDescent="0.25">
      <c r="B388" s="4">
        <v>1200</v>
      </c>
      <c r="C388" t="s">
        <v>131</v>
      </c>
      <c r="D388" s="8" t="s">
        <v>2</v>
      </c>
      <c r="F388" s="15" t="s">
        <v>496</v>
      </c>
      <c r="G388" s="26"/>
      <c r="H388" s="26"/>
      <c r="I388" s="26"/>
      <c r="J388" s="26"/>
      <c r="K388" s="26"/>
      <c r="L388" s="42" t="s">
        <v>710</v>
      </c>
      <c r="M388" s="5">
        <f>IF(O388&gt;0,O388,DATE(YEAR+1,April,1+7*_4th_weekday_occurrence)-WEEKDAY(DATE(YEAR+1,April,8-Monday)))</f>
        <v>45775</v>
      </c>
      <c r="N388" s="41"/>
    </row>
    <row r="389" spans="2:14" x14ac:dyDescent="0.25">
      <c r="B389" s="4">
        <v>1200</v>
      </c>
      <c r="C389" t="s">
        <v>131</v>
      </c>
      <c r="D389" s="8" t="s">
        <v>579</v>
      </c>
      <c r="F389" s="15" t="s">
        <v>496</v>
      </c>
      <c r="G389" s="26"/>
      <c r="H389" s="26"/>
      <c r="I389" s="26"/>
      <c r="J389" s="26"/>
      <c r="K389" s="26"/>
      <c r="L389" s="42" t="s">
        <v>710</v>
      </c>
      <c r="M389" s="55">
        <f>IF(O389&gt;0,O389,DATE(YEAR+1,April,1+7*_4th_weekday_occurrence)-WEEKDAY(DATE(YEAR+1,April,8-Monday)))</f>
        <v>45775</v>
      </c>
      <c r="N389" s="41"/>
    </row>
    <row r="390" spans="2:14" x14ac:dyDescent="0.25">
      <c r="B390" s="4">
        <v>197</v>
      </c>
      <c r="C390" t="s">
        <v>213</v>
      </c>
      <c r="D390" s="8" t="s">
        <v>2</v>
      </c>
      <c r="F390" s="15" t="s">
        <v>447</v>
      </c>
      <c r="G390" s="26"/>
      <c r="H390" s="26"/>
      <c r="I390" s="26"/>
      <c r="J390" s="26"/>
      <c r="K390" s="26"/>
      <c r="L390" s="26" t="s">
        <v>672</v>
      </c>
      <c r="M390" s="44">
        <f>IF(O390&gt;0,O390,DATE(YEAR+1,May,1+7*_1st_weekday_occurrence)-WEEKDAY(DATE(YEAR+1,May,8-Thursday)))</f>
        <v>45778</v>
      </c>
      <c r="N390" s="41"/>
    </row>
    <row r="391" spans="2:14" x14ac:dyDescent="0.25">
      <c r="B391" s="4">
        <v>197</v>
      </c>
      <c r="C391" t="s">
        <v>213</v>
      </c>
      <c r="D391" s="8" t="s">
        <v>579</v>
      </c>
      <c r="E391" s="8" t="s">
        <v>225</v>
      </c>
      <c r="F391" s="15" t="s">
        <v>447</v>
      </c>
      <c r="G391" s="26"/>
      <c r="H391" s="26"/>
      <c r="I391" s="26"/>
      <c r="J391" s="26"/>
      <c r="K391" s="26"/>
      <c r="L391" s="26" t="s">
        <v>672</v>
      </c>
      <c r="M391" s="44">
        <f>IF(O391&gt;0,O391,DATE(YEAR+1,May,1+7*_1st_weekday_occurrence)-WEEKDAY(DATE(YEAR+1,May,8-Thursday)))</f>
        <v>45778</v>
      </c>
      <c r="N391" s="41"/>
    </row>
    <row r="392" spans="2:14" x14ac:dyDescent="0.25">
      <c r="B392" s="4">
        <v>385</v>
      </c>
      <c r="C392" t="s">
        <v>33</v>
      </c>
      <c r="D392" s="8" t="s">
        <v>2</v>
      </c>
      <c r="F392" s="15" t="s">
        <v>447</v>
      </c>
      <c r="G392" s="26"/>
      <c r="H392" s="26"/>
      <c r="I392" s="26"/>
      <c r="J392" s="26"/>
      <c r="K392" s="26"/>
      <c r="L392" t="s">
        <v>708</v>
      </c>
      <c r="M392" s="5">
        <f>IF(O392&gt;0,O392,DATE(YEAR+1,May,1+7*_1st_weekday_occurrence)-WEEKDAY(DATE(YEAR+1,May,8-Thursday)))</f>
        <v>45778</v>
      </c>
      <c r="N392" s="41"/>
    </row>
    <row r="393" spans="2:14" x14ac:dyDescent="0.25">
      <c r="B393" s="4">
        <v>385</v>
      </c>
      <c r="C393" t="s">
        <v>33</v>
      </c>
      <c r="D393" s="8" t="s">
        <v>579</v>
      </c>
      <c r="F393" s="15" t="s">
        <v>447</v>
      </c>
      <c r="G393" s="26"/>
      <c r="H393" s="26"/>
      <c r="I393" s="26"/>
      <c r="J393" s="26"/>
      <c r="K393" s="26"/>
      <c r="L393" t="s">
        <v>708</v>
      </c>
      <c r="M393" s="55">
        <f>IF(O393&gt;0,O393,DATE(YEAR+1,May,1+7*_1st_weekday_occurrence)-WEEKDAY(DATE(YEAR+1,May,8-Thursday)))</f>
        <v>45778</v>
      </c>
      <c r="N393" s="41"/>
    </row>
    <row r="394" spans="2:14" x14ac:dyDescent="0.25">
      <c r="B394" s="4">
        <v>1994</v>
      </c>
      <c r="C394" t="s">
        <v>185</v>
      </c>
      <c r="D394" s="8" t="s">
        <v>2</v>
      </c>
      <c r="F394" s="15" t="s">
        <v>517</v>
      </c>
      <c r="G394" s="26"/>
      <c r="H394" s="26"/>
      <c r="I394" s="26"/>
      <c r="J394" s="26"/>
      <c r="K394" s="26"/>
      <c r="L394" s="51" t="s">
        <v>673</v>
      </c>
      <c r="M394" s="5">
        <f>IF(O394&gt;0,O394,DATE(YEAR+1,May,1+7*_1st_weekday_occurrence)-WEEKDAY(DATE(YEAR+1,May,8-Tuesday)))</f>
        <v>45783</v>
      </c>
      <c r="N394" s="41"/>
    </row>
    <row r="395" spans="2:14" x14ac:dyDescent="0.25">
      <c r="B395" s="4">
        <v>643</v>
      </c>
      <c r="C395" t="s">
        <v>115</v>
      </c>
      <c r="D395" s="8" t="s">
        <v>2</v>
      </c>
      <c r="E395" s="8" t="s">
        <v>225</v>
      </c>
      <c r="F395" s="42" t="s">
        <v>116</v>
      </c>
      <c r="G395" s="26"/>
      <c r="H395" s="26"/>
      <c r="I395" s="26"/>
      <c r="J395" s="26"/>
      <c r="K395" s="26"/>
      <c r="L395" s="26" t="s">
        <v>672</v>
      </c>
      <c r="M395" s="5">
        <f>IF(O395&gt;0,O395,DATE(YEAR+1,May,1+7*_1st_weekday_occurrence)-WEEKDAY(DATE(YEAR+1,May,8-Wednesday)))</f>
        <v>45784</v>
      </c>
      <c r="N395" s="41"/>
    </row>
    <row r="396" spans="2:14" x14ac:dyDescent="0.25">
      <c r="B396" s="4">
        <v>996</v>
      </c>
      <c r="C396" t="s">
        <v>192</v>
      </c>
      <c r="D396" s="8" t="s">
        <v>2</v>
      </c>
      <c r="F396" s="15" t="s">
        <v>116</v>
      </c>
      <c r="G396" s="26"/>
      <c r="H396" s="26"/>
      <c r="I396" s="26"/>
      <c r="J396" s="26"/>
      <c r="K396" s="26"/>
      <c r="L396" t="s">
        <v>708</v>
      </c>
      <c r="M396" s="5">
        <f>IF(O396&gt;0,O396,DATE(YEAR+1,May,1+7*_1st_weekday_occurrence)-WEEKDAY(DATE(YEAR+1,May,8-Wednesday)))</f>
        <v>45784</v>
      </c>
      <c r="N396" s="41"/>
    </row>
    <row r="397" spans="2:14" x14ac:dyDescent="0.25">
      <c r="B397" s="4">
        <v>996</v>
      </c>
      <c r="C397" t="s">
        <v>192</v>
      </c>
      <c r="D397" s="8" t="s">
        <v>579</v>
      </c>
      <c r="E397" s="8" t="s">
        <v>225</v>
      </c>
      <c r="F397" s="15" t="s">
        <v>116</v>
      </c>
      <c r="G397" s="26"/>
      <c r="H397" s="26"/>
      <c r="I397" s="26"/>
      <c r="J397" s="26"/>
      <c r="K397" s="26"/>
      <c r="L397" t="s">
        <v>708</v>
      </c>
      <c r="M397" s="55">
        <f>IF(O397&gt;0,O397,DATE(YEAR+1,May,1+7*_1st_weekday_occurrence)-WEEKDAY(DATE(YEAR+1,May,8-Wednesday)))</f>
        <v>45784</v>
      </c>
      <c r="N397" s="41"/>
    </row>
    <row r="398" spans="2:14" x14ac:dyDescent="0.25">
      <c r="B398" s="4">
        <v>1389</v>
      </c>
      <c r="C398" t="s">
        <v>218</v>
      </c>
      <c r="D398" s="8" t="s">
        <v>2</v>
      </c>
      <c r="F398" s="14" t="s">
        <v>116</v>
      </c>
      <c r="G398" s="26"/>
      <c r="H398" s="26"/>
      <c r="I398" s="26"/>
      <c r="J398" s="26"/>
      <c r="K398" s="26"/>
      <c r="L398" s="42" t="s">
        <v>709</v>
      </c>
      <c r="M398" s="5">
        <f>IF(O398&gt;0,O398,DATE(YEAR+1,May,1+7*_1st_weekday_occurrence)-WEEKDAY(DATE(YEAR+1,May,8-Wednesday)))</f>
        <v>45784</v>
      </c>
      <c r="N398" s="41"/>
    </row>
    <row r="399" spans="2:14" x14ac:dyDescent="0.25">
      <c r="B399" s="4">
        <v>1389</v>
      </c>
      <c r="C399" t="s">
        <v>218</v>
      </c>
      <c r="D399" s="8" t="s">
        <v>579</v>
      </c>
      <c r="F399" s="14" t="s">
        <v>116</v>
      </c>
      <c r="G399" s="26"/>
      <c r="H399" s="26"/>
      <c r="I399" s="26"/>
      <c r="J399" s="26"/>
      <c r="K399" s="26"/>
      <c r="L399" s="42" t="s">
        <v>709</v>
      </c>
      <c r="M399" s="55">
        <f>IF(O399&gt;0,O399,DATE(YEAR+1,May,1+7*_1st_weekday_occurrence)-WEEKDAY(DATE(YEAR+1,May,8-Wednesday)))</f>
        <v>45784</v>
      </c>
      <c r="N399" s="41"/>
    </row>
    <row r="400" spans="2:14" x14ac:dyDescent="0.25">
      <c r="B400" s="4">
        <v>107</v>
      </c>
      <c r="C400" t="s">
        <v>52</v>
      </c>
      <c r="D400" s="8" t="s">
        <v>2</v>
      </c>
      <c r="F400" s="15" t="s">
        <v>443</v>
      </c>
      <c r="G400" s="26"/>
      <c r="H400" s="26"/>
      <c r="I400" s="26"/>
      <c r="J400" s="26"/>
      <c r="K400" s="26"/>
      <c r="L400" t="s">
        <v>708</v>
      </c>
      <c r="M400" s="44">
        <f>IF(O400&gt;0,O400,DATE(YEAR+1,May,1+7*_2nd_weekday_occurrence)-WEEKDAY(DATE(YEAR+1,May,8-Thursday)))</f>
        <v>45785</v>
      </c>
      <c r="N400" s="41"/>
    </row>
    <row r="401" spans="2:14" x14ac:dyDescent="0.25">
      <c r="B401" s="4">
        <v>107</v>
      </c>
      <c r="C401" t="s">
        <v>581</v>
      </c>
      <c r="D401" s="8" t="s">
        <v>579</v>
      </c>
      <c r="E401" s="8" t="s">
        <v>225</v>
      </c>
      <c r="F401" s="15" t="s">
        <v>443</v>
      </c>
      <c r="G401" s="26"/>
      <c r="H401" s="26"/>
      <c r="I401" s="26"/>
      <c r="J401" s="26"/>
      <c r="K401" s="26"/>
      <c r="L401" t="s">
        <v>708</v>
      </c>
      <c r="M401" s="44">
        <f>IF(O401&gt;0,O401,DATE(YEAR+1,May,1+7*_2nd_weekday_occurrence)-WEEKDAY(DATE(YEAR+1,May,8-Thursday)))</f>
        <v>45785</v>
      </c>
      <c r="N401" s="41"/>
    </row>
    <row r="402" spans="2:14" x14ac:dyDescent="0.25">
      <c r="B402" s="4">
        <v>647</v>
      </c>
      <c r="C402" t="s">
        <v>4</v>
      </c>
      <c r="D402" s="8" t="s">
        <v>579</v>
      </c>
      <c r="E402" s="8" t="s">
        <v>225</v>
      </c>
      <c r="F402" s="42" t="s">
        <v>120</v>
      </c>
      <c r="G402" s="26"/>
      <c r="H402" s="26"/>
      <c r="I402" s="26"/>
      <c r="J402" s="26"/>
      <c r="K402" s="26"/>
      <c r="L402" t="s">
        <v>693</v>
      </c>
      <c r="M402" s="55">
        <f>IF(O402&gt;0,O402,DATE(YEAR+1,May,1+7*_2nd_weekday_occurrence)-WEEKDAY(DATE(YEAR+1,May,8-Thursday)))</f>
        <v>45785</v>
      </c>
      <c r="N402" s="41"/>
    </row>
    <row r="403" spans="2:14" x14ac:dyDescent="0.25">
      <c r="B403" s="4">
        <v>315</v>
      </c>
      <c r="C403" t="s">
        <v>197</v>
      </c>
      <c r="D403" s="8" t="s">
        <v>2</v>
      </c>
      <c r="F403" s="14" t="s">
        <v>455</v>
      </c>
      <c r="G403" s="26"/>
      <c r="H403" s="26"/>
      <c r="I403" s="26"/>
      <c r="J403" s="26"/>
      <c r="K403" s="26"/>
      <c r="L403" t="s">
        <v>708</v>
      </c>
      <c r="M403" s="44">
        <f>IF(O403&gt;0,O403,DATE(YEAR+1,May,1+7*_2nd_weekday_occurrence)-WEEKDAY(DATE(YEAR+1,May,8-Friday)))</f>
        <v>45786</v>
      </c>
      <c r="N403" s="41"/>
    </row>
    <row r="404" spans="2:14" x14ac:dyDescent="0.25">
      <c r="B404" s="4">
        <v>315</v>
      </c>
      <c r="C404" t="s">
        <v>197</v>
      </c>
      <c r="D404" s="8" t="s">
        <v>579</v>
      </c>
      <c r="F404" s="14" t="s">
        <v>455</v>
      </c>
      <c r="G404" s="26"/>
      <c r="H404" s="26"/>
      <c r="I404" s="26"/>
      <c r="J404" s="26"/>
      <c r="K404" s="26"/>
      <c r="L404" s="5" t="s">
        <v>708</v>
      </c>
      <c r="M404" s="44">
        <f>IF(O404&gt;0,O404,DATE(YEAR+1,May,1+7*_2nd_weekday_occurrence)-WEEKDAY(DATE(YEAR+1,May,8-Friday)))</f>
        <v>45786</v>
      </c>
      <c r="N404" s="41"/>
    </row>
    <row r="405" spans="2:14" x14ac:dyDescent="0.25">
      <c r="B405" s="4">
        <v>1989</v>
      </c>
      <c r="C405" s="57" t="s">
        <v>113</v>
      </c>
      <c r="D405" s="58" t="s">
        <v>579</v>
      </c>
      <c r="E405" s="58" t="s">
        <v>225</v>
      </c>
      <c r="F405" s="54" t="s">
        <v>518</v>
      </c>
      <c r="L405" s="51" t="s">
        <v>693</v>
      </c>
      <c r="M405" s="55">
        <f>IF(O405&gt;0,O405,DATE(YEAR+1,May,1+7*_2nd_weekday_occurrence)-WEEKDAY(DATE(YEAR+1,May,8-Saturday)))</f>
        <v>45787</v>
      </c>
    </row>
    <row r="406" spans="2:14" x14ac:dyDescent="0.25">
      <c r="B406" s="4">
        <v>1997</v>
      </c>
      <c r="C406" t="s">
        <v>676</v>
      </c>
      <c r="D406" s="8" t="s">
        <v>2</v>
      </c>
      <c r="F406" s="15" t="s">
        <v>518</v>
      </c>
      <c r="G406" s="26"/>
      <c r="H406" s="26"/>
      <c r="I406" s="26"/>
      <c r="J406" s="26"/>
      <c r="K406" s="26"/>
      <c r="L406" t="s">
        <v>708</v>
      </c>
      <c r="M406" s="5">
        <f>IF(O406&gt;0,O406,DATE(YEAR+1,May,1+7*_2nd_weekday_occurrence)-WEEKDAY(DATE(YEAR+1,May,8-Saturday)))</f>
        <v>45787</v>
      </c>
    </row>
    <row r="407" spans="2:14" x14ac:dyDescent="0.25">
      <c r="B407" s="4">
        <v>1997</v>
      </c>
      <c r="C407" t="s">
        <v>676</v>
      </c>
      <c r="D407" s="8" t="s">
        <v>579</v>
      </c>
      <c r="F407" s="54" t="s">
        <v>518</v>
      </c>
      <c r="L407" s="51" t="s">
        <v>708</v>
      </c>
      <c r="M407" s="55">
        <f>IF(O407&gt;0,O407,DATE(YEAR+1,May,1+7*_2nd_weekday_occurrence)-WEEKDAY(DATE(YEAR+1,May,8-Saturday)))</f>
        <v>45787</v>
      </c>
    </row>
    <row r="408" spans="2:14" x14ac:dyDescent="0.25">
      <c r="B408" s="4">
        <v>400</v>
      </c>
      <c r="C408" t="s">
        <v>117</v>
      </c>
      <c r="D408" s="8" t="s">
        <v>2</v>
      </c>
      <c r="E408" s="8" t="s">
        <v>225</v>
      </c>
      <c r="F408" s="42" t="s">
        <v>118</v>
      </c>
      <c r="G408" s="26"/>
      <c r="H408" s="26"/>
      <c r="I408" s="26"/>
      <c r="J408" s="26"/>
      <c r="K408" s="26"/>
      <c r="L408" s="51" t="s">
        <v>673</v>
      </c>
      <c r="M408" s="5">
        <f>IF(O408&gt;0,O408,DATE(YEAR+1,May,1+7*_2nd_weekday_occurrence)-WEEKDAY(DATE(YEAR+1,May,8-Monday)))</f>
        <v>45789</v>
      </c>
      <c r="N408" s="41"/>
    </row>
    <row r="409" spans="2:14" x14ac:dyDescent="0.25">
      <c r="B409" s="4">
        <v>400</v>
      </c>
      <c r="C409" t="s">
        <v>584</v>
      </c>
      <c r="D409" s="8" t="s">
        <v>579</v>
      </c>
      <c r="F409" s="42" t="s">
        <v>118</v>
      </c>
      <c r="G409" s="26"/>
      <c r="H409" s="26"/>
      <c r="I409" s="26"/>
      <c r="J409" s="26"/>
      <c r="K409" s="26"/>
      <c r="L409" s="51" t="s">
        <v>673</v>
      </c>
      <c r="M409" s="55">
        <f>IF(O409&gt;0,O409,DATE(YEAR+1,May,1+7*_2nd_weekday_occurrence)-WEEKDAY(DATE(YEAR+1,May,8-Monday)))</f>
        <v>45789</v>
      </c>
      <c r="N409" s="41"/>
    </row>
    <row r="410" spans="2:14" x14ac:dyDescent="0.25">
      <c r="B410" s="4">
        <v>22</v>
      </c>
      <c r="C410" t="s">
        <v>70</v>
      </c>
      <c r="D410" s="8" t="s">
        <v>2</v>
      </c>
      <c r="F410" s="14" t="s">
        <v>441</v>
      </c>
      <c r="G410" s="26"/>
      <c r="H410" s="26"/>
      <c r="I410" s="26"/>
      <c r="J410" s="26"/>
      <c r="K410" s="26"/>
      <c r="L410" t="s">
        <v>708</v>
      </c>
      <c r="M410" s="5">
        <f>IF(O410&gt;0,O410,DATE(YEAR+1,May,1+7*_2nd_weekday_occurrence)-WEEKDAY(DATE(YEAR+1,May,8-Tuesday)))</f>
        <v>45790</v>
      </c>
      <c r="N410" s="41"/>
    </row>
    <row r="411" spans="2:14" x14ac:dyDescent="0.25">
      <c r="B411" s="4">
        <v>22</v>
      </c>
      <c r="C411" t="s">
        <v>70</v>
      </c>
      <c r="D411" s="8" t="s">
        <v>579</v>
      </c>
      <c r="E411" s="8" t="s">
        <v>225</v>
      </c>
      <c r="F411" s="14" t="s">
        <v>441</v>
      </c>
      <c r="G411" s="26"/>
      <c r="H411" s="26"/>
      <c r="I411" s="26"/>
      <c r="J411" s="26"/>
      <c r="K411" s="26"/>
      <c r="L411" s="51" t="s">
        <v>708</v>
      </c>
      <c r="M411" s="55">
        <f>IF(O411&gt;0,O411,DATE(YEAR+1,May,1+7*_2nd_weekday_occurrence)-WEEKDAY(DATE(YEAR+1,May,8-Tuesday)))</f>
        <v>45790</v>
      </c>
      <c r="N411" s="41"/>
    </row>
    <row r="412" spans="2:14" x14ac:dyDescent="0.25">
      <c r="B412" s="4">
        <v>7</v>
      </c>
      <c r="C412" t="s">
        <v>42</v>
      </c>
      <c r="D412" s="8" t="s">
        <v>2</v>
      </c>
      <c r="F412" s="14" t="s">
        <v>438</v>
      </c>
      <c r="L412" s="42" t="s">
        <v>710</v>
      </c>
      <c r="M412" s="5">
        <f>IF(O412&gt;0,O412,DATE(YEAR+1,May,1+7*_3rd_weekday_occurrence)-WEEKDAY(DATE(YEAR+1,May,8-Thursday)))</f>
        <v>45792</v>
      </c>
      <c r="N412" s="41"/>
    </row>
    <row r="413" spans="2:14" x14ac:dyDescent="0.25">
      <c r="B413" s="4">
        <v>7</v>
      </c>
      <c r="C413" t="s">
        <v>42</v>
      </c>
      <c r="D413" s="8" t="s">
        <v>579</v>
      </c>
      <c r="F413" s="14" t="s">
        <v>438</v>
      </c>
      <c r="L413" t="s">
        <v>710</v>
      </c>
      <c r="M413" s="55">
        <f>IF(O413&gt;0,O413,DATE(YEAR+1,May,1+7*_3rd_weekday_occurrence)-WEEKDAY(DATE(YEAR+1,May,8-Thursday)))</f>
        <v>45792</v>
      </c>
      <c r="N413" s="41"/>
    </row>
    <row r="414" spans="2:14" x14ac:dyDescent="0.25">
      <c r="B414" s="4">
        <v>1889</v>
      </c>
      <c r="C414" t="s">
        <v>186</v>
      </c>
      <c r="D414" s="8" t="s">
        <v>2</v>
      </c>
      <c r="F414" s="14" t="s">
        <v>510</v>
      </c>
      <c r="G414" s="26"/>
      <c r="H414" s="26"/>
      <c r="I414" s="26"/>
      <c r="J414" s="26"/>
      <c r="K414" s="26"/>
      <c r="L414" s="5" t="s">
        <v>672</v>
      </c>
      <c r="M414" s="5">
        <f>IF(O414&gt;0,O414,DATE(YEAR+1,May,1+7*_3rd_weekday_occurrence)-WEEKDAY(DATE(YEAR+1,May,8-Friday)))</f>
        <v>45793</v>
      </c>
      <c r="N414" s="41"/>
    </row>
    <row r="415" spans="2:14" x14ac:dyDescent="0.25">
      <c r="B415" s="4">
        <v>1889</v>
      </c>
      <c r="C415" t="s">
        <v>186</v>
      </c>
      <c r="D415" s="8" t="s">
        <v>579</v>
      </c>
      <c r="E415" s="8" t="s">
        <v>225</v>
      </c>
      <c r="F415" s="14" t="s">
        <v>510</v>
      </c>
      <c r="G415" s="26"/>
      <c r="H415" s="26"/>
      <c r="I415" s="26"/>
      <c r="J415" s="26"/>
      <c r="K415" s="26"/>
      <c r="L415" s="5" t="s">
        <v>672</v>
      </c>
      <c r="M415" s="55">
        <f>IF(O415&gt;0,O415,DATE(YEAR+1,May,1+7*_3rd_weekday_occurrence)-WEEKDAY(DATE(YEAR+1,May,8-Friday)))</f>
        <v>45793</v>
      </c>
      <c r="N415" s="41"/>
    </row>
    <row r="416" spans="2:14" x14ac:dyDescent="0.25">
      <c r="B416" s="4">
        <v>1604</v>
      </c>
      <c r="C416" t="s">
        <v>121</v>
      </c>
      <c r="D416" s="8" t="s">
        <v>2</v>
      </c>
      <c r="E416" s="8" t="s">
        <v>225</v>
      </c>
      <c r="F416" s="42" t="s">
        <v>122</v>
      </c>
      <c r="G416" s="26"/>
      <c r="H416" s="26"/>
      <c r="I416" s="26"/>
      <c r="J416" s="26"/>
      <c r="K416" s="26"/>
      <c r="L416" s="26" t="s">
        <v>672</v>
      </c>
      <c r="M416" s="5">
        <f>IF(O416&gt;0,O416,DATE(YEAR+1,May,1+7*_3rd_weekday_occurrence)-WEEKDAY(DATE(YEAR+1,May,8-Saturday)))</f>
        <v>45794</v>
      </c>
      <c r="N416" s="43"/>
    </row>
    <row r="417" spans="2:14" x14ac:dyDescent="0.25">
      <c r="B417" s="4">
        <v>1604</v>
      </c>
      <c r="C417" t="s">
        <v>121</v>
      </c>
      <c r="D417" s="8" t="s">
        <v>579</v>
      </c>
      <c r="F417" s="42" t="s">
        <v>122</v>
      </c>
      <c r="G417" s="26"/>
      <c r="H417" s="26"/>
      <c r="I417" s="26"/>
      <c r="J417" s="26"/>
      <c r="K417" s="26"/>
      <c r="L417" s="26" t="s">
        <v>672</v>
      </c>
      <c r="M417" s="55">
        <f>IF(O417&gt;0,O417,DATE(YEAR+1,May,1+7*_3rd_weekday_occurrence)-WEEKDAY(DATE(YEAR+1,May,8-Saturday)))</f>
        <v>45794</v>
      </c>
      <c r="N417" s="43"/>
    </row>
    <row r="418" spans="2:14" x14ac:dyDescent="0.25">
      <c r="B418" s="4">
        <v>1984</v>
      </c>
      <c r="C418" t="s">
        <v>199</v>
      </c>
      <c r="D418" s="8" t="s">
        <v>2</v>
      </c>
      <c r="F418" s="14" t="s">
        <v>122</v>
      </c>
      <c r="G418" s="26"/>
      <c r="H418" s="26"/>
      <c r="I418" s="26"/>
      <c r="J418" s="26"/>
      <c r="K418" s="26"/>
      <c r="L418" s="51" t="s">
        <v>673</v>
      </c>
      <c r="M418" s="5">
        <f>IF(O418&gt;0,O418,DATE(YEAR+1,May,1+7*_3rd_weekday_occurrence)-WEEKDAY(DATE(YEAR+1,May,8-Saturday)))</f>
        <v>45794</v>
      </c>
      <c r="N418" s="43"/>
    </row>
    <row r="419" spans="2:14" x14ac:dyDescent="0.25">
      <c r="B419" s="4">
        <v>1984</v>
      </c>
      <c r="C419" t="s">
        <v>199</v>
      </c>
      <c r="D419" s="8" t="s">
        <v>579</v>
      </c>
      <c r="F419" s="14" t="s">
        <v>122</v>
      </c>
      <c r="G419" s="26"/>
      <c r="H419" s="26"/>
      <c r="I419" s="26"/>
      <c r="J419" s="26"/>
      <c r="K419" s="26"/>
      <c r="L419" s="51" t="s">
        <v>673</v>
      </c>
      <c r="M419" s="55">
        <f>IF(O419&gt;0,O419,DATE(YEAR+1,May,1+7*_3rd_weekday_occurrence)-WEEKDAY(DATE(YEAR+1,May,8-Saturday)))</f>
        <v>45794</v>
      </c>
      <c r="N419" s="43"/>
    </row>
    <row r="420" spans="2:14" x14ac:dyDescent="0.25">
      <c r="B420" s="4">
        <v>4</v>
      </c>
      <c r="C420" t="s">
        <v>123</v>
      </c>
      <c r="D420" s="8" t="s">
        <v>2</v>
      </c>
      <c r="E420" s="8" t="s">
        <v>225</v>
      </c>
      <c r="F420" s="42" t="s">
        <v>124</v>
      </c>
      <c r="G420" s="42"/>
      <c r="H420" s="42"/>
      <c r="I420" s="42"/>
      <c r="J420" s="42"/>
      <c r="K420" s="42"/>
      <c r="L420" t="s">
        <v>708</v>
      </c>
      <c r="M420" s="5">
        <f>IF(O420&gt;0,O420,DATE(YEAR+1,May,1+7*_3rd_weekday_occurrence)-WEEKDAY(DATE(YEAR+1,May,8-Monday)))</f>
        <v>45796</v>
      </c>
      <c r="N420" s="41"/>
    </row>
    <row r="421" spans="2:14" x14ac:dyDescent="0.25">
      <c r="B421" s="4">
        <v>4</v>
      </c>
      <c r="C421" t="s">
        <v>123</v>
      </c>
      <c r="D421" s="8" t="s">
        <v>579</v>
      </c>
      <c r="F421" s="42" t="s">
        <v>124</v>
      </c>
      <c r="G421" s="42"/>
      <c r="H421" s="42"/>
      <c r="I421" s="42"/>
      <c r="J421" s="42"/>
      <c r="K421" s="42"/>
      <c r="L421" t="s">
        <v>708</v>
      </c>
      <c r="M421" s="55">
        <f>IF(O421&gt;0,O421,DATE(YEAR+1,May,1+7*_3rd_weekday_occurrence)-WEEKDAY(DATE(YEAR+1,May,8-Monday)))</f>
        <v>45796</v>
      </c>
      <c r="N421" s="41"/>
    </row>
    <row r="422" spans="2:14" x14ac:dyDescent="0.25">
      <c r="B422" s="4">
        <v>633</v>
      </c>
      <c r="C422" t="s">
        <v>176</v>
      </c>
      <c r="D422" s="8" t="s">
        <v>2</v>
      </c>
      <c r="F422" s="15" t="s">
        <v>124</v>
      </c>
      <c r="G422" s="26"/>
      <c r="H422" s="26"/>
      <c r="I422" s="26"/>
      <c r="J422" s="26"/>
      <c r="K422" s="26"/>
      <c r="L422" t="s">
        <v>693</v>
      </c>
      <c r="M422" s="5">
        <f>IF(O422&gt;0,O422,DATE(YEAR+1,May,1+7*_3rd_weekday_occurrence)-WEEKDAY(DATE(YEAR+1,May,8-Monday)))</f>
        <v>45796</v>
      </c>
      <c r="N422" s="41"/>
    </row>
    <row r="423" spans="2:14" x14ac:dyDescent="0.25">
      <c r="B423" s="4">
        <v>633</v>
      </c>
      <c r="C423" t="s">
        <v>176</v>
      </c>
      <c r="D423" s="8" t="s">
        <v>579</v>
      </c>
      <c r="E423" s="8" t="s">
        <v>225</v>
      </c>
      <c r="F423" s="15" t="s">
        <v>124</v>
      </c>
      <c r="G423" s="26"/>
      <c r="H423" s="26"/>
      <c r="I423" s="26"/>
      <c r="J423" s="26"/>
      <c r="K423" s="26"/>
      <c r="L423" t="s">
        <v>693</v>
      </c>
      <c r="M423" s="55">
        <f>IF(O423&gt;0,O423,DATE(YEAR+1,May,1+7*_3rd_weekday_occurrence)-WEEKDAY(DATE(YEAR+1,May,8-Monday)))</f>
        <v>45796</v>
      </c>
      <c r="N423" s="41"/>
    </row>
    <row r="424" spans="2:14" x14ac:dyDescent="0.25">
      <c r="B424" s="4">
        <v>489</v>
      </c>
      <c r="C424" t="s">
        <v>202</v>
      </c>
      <c r="D424" s="8" t="s">
        <v>2</v>
      </c>
      <c r="F424" s="15" t="s">
        <v>466</v>
      </c>
      <c r="G424" s="26"/>
      <c r="H424" s="26"/>
      <c r="I424" s="26"/>
      <c r="J424" s="26"/>
      <c r="K424" s="26"/>
      <c r="L424" t="s">
        <v>708</v>
      </c>
      <c r="M424" s="5">
        <f>IF(O424&gt;0,O424,DATE(YEAR+1,May,1+7*_3rd_weekday_occurrence)-WEEKDAY(DATE(YEAR+1,May,8-Wednesday)))</f>
        <v>45798</v>
      </c>
      <c r="N424" s="41"/>
    </row>
    <row r="425" spans="2:14" x14ac:dyDescent="0.25">
      <c r="B425" s="4">
        <v>489</v>
      </c>
      <c r="C425" t="s">
        <v>202</v>
      </c>
      <c r="D425" s="8" t="s">
        <v>579</v>
      </c>
      <c r="F425" s="15" t="s">
        <v>466</v>
      </c>
      <c r="G425" s="26"/>
      <c r="H425" s="26"/>
      <c r="I425" s="26"/>
      <c r="J425" s="26"/>
      <c r="K425" s="26"/>
      <c r="L425" t="s">
        <v>708</v>
      </c>
      <c r="M425" s="55">
        <f>IF(O425&gt;0,O425,DATE(YEAR+1,May,1+7*_3rd_weekday_occurrence)-WEEKDAY(DATE(YEAR+1,May,8-Wednesday)))</f>
        <v>45798</v>
      </c>
      <c r="N425" s="41"/>
    </row>
    <row r="426" spans="2:14" x14ac:dyDescent="0.25">
      <c r="B426" s="4">
        <v>1105</v>
      </c>
      <c r="C426" t="s">
        <v>119</v>
      </c>
      <c r="D426" s="8" t="s">
        <v>2</v>
      </c>
      <c r="E426" s="8" t="s">
        <v>225</v>
      </c>
      <c r="F426" s="42" t="s">
        <v>674</v>
      </c>
      <c r="G426" s="26"/>
      <c r="H426" s="26"/>
      <c r="I426" s="26"/>
      <c r="J426" s="26"/>
      <c r="K426" s="26"/>
      <c r="L426" s="42" t="s">
        <v>709</v>
      </c>
      <c r="M426" s="5">
        <f>IF(O426&gt;0,O426,DATE(YEAR+1,May,1+7*_4th_weekday_occurrence)-WEEKDAY(DATE(YEAR+1,May,8-Thursday)))</f>
        <v>45799</v>
      </c>
      <c r="N426" s="41"/>
    </row>
    <row r="427" spans="2:14" x14ac:dyDescent="0.25">
      <c r="B427" s="4">
        <v>1118</v>
      </c>
      <c r="C427" t="s">
        <v>210</v>
      </c>
      <c r="D427" s="8" t="s">
        <v>2</v>
      </c>
      <c r="F427" s="14" t="s">
        <v>491</v>
      </c>
      <c r="G427" s="26"/>
      <c r="H427" s="26"/>
      <c r="I427" s="26"/>
      <c r="J427" s="26"/>
      <c r="K427" s="26"/>
      <c r="L427" t="s">
        <v>709</v>
      </c>
      <c r="M427" s="5">
        <f>IF(O427&gt;0,O427,DATE(YEAR+1,May,1+7*_4th_weekday_occurrence)-WEEKDAY(DATE(YEAR+1,May,8-Thursday)))</f>
        <v>45799</v>
      </c>
      <c r="N427" s="41"/>
    </row>
    <row r="428" spans="2:14" x14ac:dyDescent="0.25">
      <c r="B428" s="4">
        <v>1118</v>
      </c>
      <c r="C428" t="s">
        <v>210</v>
      </c>
      <c r="D428" s="8" t="s">
        <v>579</v>
      </c>
      <c r="F428" s="14" t="s">
        <v>491</v>
      </c>
      <c r="G428" s="26"/>
      <c r="H428" s="26"/>
      <c r="I428" s="26"/>
      <c r="J428" s="26"/>
      <c r="K428" s="26"/>
      <c r="L428" t="s">
        <v>709</v>
      </c>
      <c r="M428" s="55">
        <f>IF(O428&gt;0,O428,DATE(YEAR+1,May,1+7*_4th_weekday_occurrence)-WEEKDAY(DATE(YEAR+1,May,8-Thursday)))</f>
        <v>45799</v>
      </c>
      <c r="N428" s="41"/>
    </row>
    <row r="429" spans="2:14" x14ac:dyDescent="0.25">
      <c r="B429" s="4">
        <v>1228</v>
      </c>
      <c r="C429" t="s">
        <v>84</v>
      </c>
      <c r="D429" s="8" t="s">
        <v>2</v>
      </c>
      <c r="F429" s="15" t="s">
        <v>491</v>
      </c>
      <c r="G429" s="26"/>
      <c r="H429" s="26"/>
      <c r="I429" s="26"/>
      <c r="J429" s="26"/>
      <c r="K429" s="26"/>
      <c r="L429" t="s">
        <v>710</v>
      </c>
      <c r="M429" s="5">
        <f>IF(O429&gt;0,O429,DATE(YEAR+1,May,1+7*_4th_weekday_occurrence)-WEEKDAY(DATE(YEAR+1,May,8-Thursday)))</f>
        <v>45799</v>
      </c>
      <c r="N429" s="41"/>
    </row>
    <row r="430" spans="2:14" x14ac:dyDescent="0.25">
      <c r="B430" s="4">
        <v>1228</v>
      </c>
      <c r="C430" t="s">
        <v>84</v>
      </c>
      <c r="D430" s="8" t="s">
        <v>579</v>
      </c>
      <c r="E430" s="8" t="s">
        <v>225</v>
      </c>
      <c r="F430" s="15" t="s">
        <v>491</v>
      </c>
      <c r="G430" s="26"/>
      <c r="H430" s="26"/>
      <c r="I430" s="26"/>
      <c r="J430" s="26"/>
      <c r="K430" s="26"/>
      <c r="L430" t="s">
        <v>710</v>
      </c>
      <c r="M430" s="55">
        <f>IF(O430&gt;0,O430,DATE(YEAR+1,May,1+7*_4th_weekday_occurrence)-WEEKDAY(DATE(YEAR+1,May,8-Thursday)))</f>
        <v>45799</v>
      </c>
      <c r="N430" s="41"/>
    </row>
    <row r="431" spans="2:14" x14ac:dyDescent="0.25">
      <c r="B431" s="4">
        <v>1771</v>
      </c>
      <c r="C431" t="s">
        <v>125</v>
      </c>
      <c r="D431" s="8" t="s">
        <v>2</v>
      </c>
      <c r="E431" s="8" t="s">
        <v>225</v>
      </c>
      <c r="F431" s="42" t="s">
        <v>126</v>
      </c>
      <c r="G431" s="26"/>
      <c r="H431" s="26"/>
      <c r="I431" s="26"/>
      <c r="J431" s="26"/>
      <c r="K431" s="26"/>
      <c r="L431" t="s">
        <v>693</v>
      </c>
      <c r="M431" s="5">
        <f>IF(O431&gt;0,O431,DATE(YEAR+1,May,1+7*_4th_weekday_occurrence)-WEEKDAY(DATE(YEAR+1,May,8-Friday)))</f>
        <v>45800</v>
      </c>
      <c r="N431" s="41"/>
    </row>
    <row r="432" spans="2:14" x14ac:dyDescent="0.25">
      <c r="B432" s="4">
        <v>652</v>
      </c>
      <c r="C432" t="s">
        <v>127</v>
      </c>
      <c r="D432" s="8" t="s">
        <v>2</v>
      </c>
      <c r="E432" s="8" t="s">
        <v>225</v>
      </c>
      <c r="F432" s="42" t="s">
        <v>128</v>
      </c>
      <c r="G432" s="26"/>
      <c r="H432" s="26"/>
      <c r="I432" s="26"/>
      <c r="J432" s="26"/>
      <c r="K432" s="26"/>
      <c r="L432" s="42" t="s">
        <v>709</v>
      </c>
      <c r="M432" s="5">
        <f>IF(O432&gt;0,O432,DATE(YEAR+1,May,1+7*_4th_weekday_occurrence)-WEEKDAY(DATE(YEAR+1,May,8-Tuesday)))</f>
        <v>45804</v>
      </c>
      <c r="N432" s="41"/>
    </row>
    <row r="433" spans="2:14" x14ac:dyDescent="0.25">
      <c r="B433" s="4">
        <v>652</v>
      </c>
      <c r="C433" t="s">
        <v>587</v>
      </c>
      <c r="D433" s="8" t="s">
        <v>579</v>
      </c>
      <c r="F433" s="42" t="s">
        <v>128</v>
      </c>
      <c r="G433" s="26"/>
      <c r="H433" s="26"/>
      <c r="I433" s="26"/>
      <c r="J433" s="26"/>
      <c r="K433" s="26"/>
      <c r="L433" s="42" t="s">
        <v>709</v>
      </c>
      <c r="M433" s="55">
        <f>IF(O433&gt;0,O433,DATE(YEAR+1,May,1+7*_4th_weekday_occurrence)-WEEKDAY(DATE(YEAR+1,May,8-Tuesday)))</f>
        <v>45804</v>
      </c>
      <c r="N433" s="41"/>
    </row>
    <row r="434" spans="2:14" x14ac:dyDescent="0.25">
      <c r="B434" s="4">
        <v>897</v>
      </c>
      <c r="C434" t="s">
        <v>167</v>
      </c>
      <c r="D434" s="8" t="s">
        <v>2</v>
      </c>
      <c r="F434" s="14" t="s">
        <v>128</v>
      </c>
      <c r="G434" s="26"/>
      <c r="H434" s="26"/>
      <c r="I434" s="26"/>
      <c r="J434" s="26"/>
      <c r="K434" s="26"/>
      <c r="L434" s="5" t="s">
        <v>710</v>
      </c>
      <c r="M434" s="5">
        <f>IF(O434&gt;0,O434,DATE(YEAR+1,May,1+7*_4th_weekday_occurrence)-WEEKDAY(DATE(YEAR+1,May,8-Tuesday)))</f>
        <v>45804</v>
      </c>
      <c r="N434" s="41"/>
    </row>
    <row r="435" spans="2:14" x14ac:dyDescent="0.25">
      <c r="B435" s="4">
        <v>897</v>
      </c>
      <c r="C435" t="s">
        <v>167</v>
      </c>
      <c r="D435" s="8" t="s">
        <v>579</v>
      </c>
      <c r="F435" s="14" t="s">
        <v>128</v>
      </c>
      <c r="G435" s="26"/>
      <c r="H435" s="26"/>
      <c r="I435" s="26"/>
      <c r="J435" s="26"/>
      <c r="K435" s="26"/>
      <c r="L435" s="5" t="s">
        <v>710</v>
      </c>
      <c r="M435" s="55">
        <f>IF(O435&gt;0,O435,DATE(YEAR+1,May,1+7*_4th_weekday_occurrence)-WEEKDAY(DATE(YEAR+1,May,8-Tuesday)))</f>
        <v>45804</v>
      </c>
      <c r="N435" s="41"/>
    </row>
    <row r="436" spans="2:14" x14ac:dyDescent="0.25">
      <c r="B436" s="4">
        <v>1091</v>
      </c>
      <c r="C436" t="s">
        <v>55</v>
      </c>
      <c r="D436" s="8" t="s">
        <v>2</v>
      </c>
      <c r="F436" s="15" t="s">
        <v>128</v>
      </c>
      <c r="G436" s="26"/>
      <c r="H436" s="26"/>
      <c r="I436" s="26"/>
      <c r="J436" s="26"/>
      <c r="K436" s="26"/>
      <c r="L436" s="42" t="s">
        <v>710</v>
      </c>
      <c r="M436" s="5">
        <f>IF(O436&gt;0,O436,DATE(YEAR+1,May,1+7*_4th_weekday_occurrence)-WEEKDAY(DATE(YEAR+1,May,8-Tuesday)))</f>
        <v>45804</v>
      </c>
      <c r="N436" s="41"/>
    </row>
    <row r="437" spans="2:14" x14ac:dyDescent="0.25">
      <c r="B437" s="4">
        <v>1091</v>
      </c>
      <c r="C437" t="s">
        <v>55</v>
      </c>
      <c r="D437" s="8" t="s">
        <v>579</v>
      </c>
      <c r="F437" s="15" t="s">
        <v>128</v>
      </c>
      <c r="G437" s="26"/>
      <c r="H437" s="26"/>
      <c r="I437" s="26"/>
      <c r="J437" s="26"/>
      <c r="K437" s="26"/>
      <c r="L437" s="42" t="s">
        <v>710</v>
      </c>
      <c r="M437" s="55">
        <f>IF(O437&gt;0,O437,DATE(YEAR+1,May,1+7*_4th_weekday_occurrence)-WEEKDAY(DATE(YEAR+1,May,8-Tuesday)))</f>
        <v>45804</v>
      </c>
      <c r="N437" s="41"/>
    </row>
    <row r="438" spans="2:14" x14ac:dyDescent="0.25">
      <c r="B438" s="4">
        <v>1124</v>
      </c>
      <c r="C438" t="s">
        <v>74</v>
      </c>
      <c r="D438" s="8" t="s">
        <v>2</v>
      </c>
      <c r="F438" s="15" t="s">
        <v>492</v>
      </c>
      <c r="G438" s="26"/>
      <c r="H438" s="26"/>
      <c r="I438" s="26"/>
      <c r="J438" s="26"/>
      <c r="K438" s="26"/>
      <c r="L438" s="5" t="s">
        <v>710</v>
      </c>
      <c r="M438" s="5">
        <f>IF(O438&gt;0,O438,DATE(YEAR+1,May,1+7*_4th_weekday_occurrence)-WEEKDAY(DATE(YEAR+1,May,8-Wednesday)))</f>
        <v>45805</v>
      </c>
      <c r="N438" s="41"/>
    </row>
    <row r="439" spans="2:14" x14ac:dyDescent="0.25">
      <c r="B439" s="4">
        <v>1124</v>
      </c>
      <c r="C439" t="s">
        <v>74</v>
      </c>
      <c r="D439" s="8" t="s">
        <v>579</v>
      </c>
      <c r="F439" s="15" t="s">
        <v>492</v>
      </c>
      <c r="G439" s="26"/>
      <c r="H439" s="26"/>
      <c r="I439" s="26"/>
      <c r="J439" s="26"/>
      <c r="K439" s="26"/>
      <c r="L439" s="5" t="s">
        <v>710</v>
      </c>
      <c r="M439" s="55">
        <f>IF(O439&gt;0,O439,DATE(YEAR+1,May,1+7*_4th_weekday_occurrence)-WEEKDAY(DATE(YEAR+1,May,8-Wednesday)))</f>
        <v>45805</v>
      </c>
      <c r="N439" s="41"/>
    </row>
    <row r="440" spans="2:14" x14ac:dyDescent="0.25">
      <c r="B440" s="4">
        <v>791</v>
      </c>
      <c r="C440" t="s">
        <v>129</v>
      </c>
      <c r="D440" s="8" t="s">
        <v>2</v>
      </c>
      <c r="E440" s="8" t="s">
        <v>225</v>
      </c>
      <c r="F440" s="42" t="s">
        <v>130</v>
      </c>
      <c r="G440" s="26"/>
      <c r="H440" s="26"/>
      <c r="I440" s="26"/>
      <c r="J440" s="26"/>
      <c r="K440" s="26"/>
      <c r="L440" t="s">
        <v>709</v>
      </c>
      <c r="M440" s="5">
        <f>IF(O440&gt;0,O440,DATE(YEAR+1,June,1+7*_1st_weekday_occurrence)-WEEKDAY(DATE(YEAR+1,June,8-Wednesday)))</f>
        <v>45812</v>
      </c>
      <c r="N440" s="41"/>
    </row>
    <row r="441" spans="2:14" x14ac:dyDescent="0.25">
      <c r="B441" s="4">
        <v>791</v>
      </c>
      <c r="C441" t="s">
        <v>129</v>
      </c>
      <c r="D441" s="8" t="s">
        <v>579</v>
      </c>
      <c r="F441" s="42" t="s">
        <v>130</v>
      </c>
      <c r="G441" s="26"/>
      <c r="H441" s="26"/>
      <c r="I441" s="26"/>
      <c r="J441" s="26"/>
      <c r="K441" s="26"/>
      <c r="L441" t="s">
        <v>709</v>
      </c>
      <c r="M441" s="55">
        <f>IF(O441&gt;0,O441,DATE(YEAR+1,June,1+7*_1st_weekday_occurrence)-WEEKDAY(DATE(YEAR+1,June,8-Wednesday)))</f>
        <v>45812</v>
      </c>
      <c r="N441" s="41"/>
    </row>
    <row r="442" spans="2:14" x14ac:dyDescent="0.25">
      <c r="B442" s="4">
        <v>1748</v>
      </c>
      <c r="C442" t="s">
        <v>23</v>
      </c>
      <c r="D442" s="8" t="s">
        <v>2</v>
      </c>
      <c r="F442" s="15" t="s">
        <v>130</v>
      </c>
      <c r="G442" s="26"/>
      <c r="H442" s="26"/>
      <c r="I442" s="26"/>
      <c r="J442" s="26"/>
      <c r="K442" s="26"/>
      <c r="L442" s="42" t="s">
        <v>709</v>
      </c>
      <c r="M442" s="5">
        <f>IF(O442&gt;0,O442,DATE(YEAR+1,June,1+7*_1st_weekday_occurrence)-WEEKDAY(DATE(YEAR+1,June,8-Wednesday)))</f>
        <v>45812</v>
      </c>
      <c r="N442" s="41"/>
    </row>
    <row r="443" spans="2:14" x14ac:dyDescent="0.25">
      <c r="B443" s="4">
        <v>1748</v>
      </c>
      <c r="C443" t="s">
        <v>23</v>
      </c>
      <c r="D443" s="8" t="s">
        <v>579</v>
      </c>
      <c r="E443" s="8" t="s">
        <v>225</v>
      </c>
      <c r="F443" s="15" t="s">
        <v>130</v>
      </c>
      <c r="G443" s="26"/>
      <c r="H443" s="26"/>
      <c r="I443" s="26"/>
      <c r="J443" s="26"/>
      <c r="K443" s="26"/>
      <c r="L443" s="42" t="s">
        <v>709</v>
      </c>
      <c r="M443" s="55">
        <f>IF(O443&gt;0,O443,DATE(YEAR+1,June,1+7*_1st_weekday_occurrence)-WEEKDAY(DATE(YEAR+1,June,8-Wednesday)))</f>
        <v>45812</v>
      </c>
      <c r="N443" s="41"/>
    </row>
    <row r="444" spans="2:14" x14ac:dyDescent="0.25">
      <c r="B444" s="4">
        <v>1870</v>
      </c>
      <c r="C444" t="s">
        <v>215</v>
      </c>
      <c r="D444" s="8" t="s">
        <v>2</v>
      </c>
      <c r="F444" t="s">
        <v>508</v>
      </c>
      <c r="G444" s="5"/>
      <c r="H444" s="5"/>
      <c r="I444" s="5"/>
      <c r="J444" s="5"/>
      <c r="K444" s="5"/>
      <c r="L444" s="5" t="s">
        <v>672</v>
      </c>
      <c r="M444" s="5">
        <f>IF(O444&gt;0,O444,DATE(YEAR+1,June,1+7*_1st_weekday_occurrence)-WEEKDAY(DATE(YEAR+1,June,8-Thursday)))</f>
        <v>45813</v>
      </c>
      <c r="N444" s="41"/>
    </row>
    <row r="445" spans="2:14" x14ac:dyDescent="0.25">
      <c r="B445" s="4">
        <v>1200</v>
      </c>
      <c r="C445" t="s">
        <v>131</v>
      </c>
      <c r="D445" s="8" t="s">
        <v>2</v>
      </c>
      <c r="E445" s="8" t="s">
        <v>225</v>
      </c>
      <c r="F445" s="42" t="s">
        <v>132</v>
      </c>
      <c r="G445" s="26"/>
      <c r="H445" s="26"/>
      <c r="I445" s="26"/>
      <c r="J445" s="26"/>
      <c r="K445" s="26"/>
      <c r="L445" s="42" t="s">
        <v>710</v>
      </c>
      <c r="M445" s="5">
        <f>IF(O445&gt;0,O445,DATE(YEAR+1,June,1+7*_2nd_weekday_occurrence)-WEEKDAY(DATE(YEAR+1,June,8-Monday)))</f>
        <v>45817</v>
      </c>
      <c r="N445" s="41"/>
    </row>
    <row r="446" spans="2:14" x14ac:dyDescent="0.25">
      <c r="B446" s="4">
        <v>1200</v>
      </c>
      <c r="C446" t="s">
        <v>131</v>
      </c>
      <c r="D446" s="8" t="s">
        <v>579</v>
      </c>
      <c r="F446" s="42" t="s">
        <v>132</v>
      </c>
      <c r="G446" s="26"/>
      <c r="H446" s="26"/>
      <c r="I446" s="26"/>
      <c r="J446" s="26"/>
      <c r="K446" s="26"/>
      <c r="L446" s="42" t="s">
        <v>710</v>
      </c>
      <c r="M446" s="55">
        <f>IF(O446&gt;0,O446,DATE(YEAR+1,June,1+7*_2nd_weekday_occurrence)-WEEKDAY(DATE(YEAR+1,June,8-Monday)))</f>
        <v>45817</v>
      </c>
      <c r="N446" s="41"/>
    </row>
    <row r="447" spans="2:14" x14ac:dyDescent="0.25">
      <c r="B447" s="4">
        <v>1467</v>
      </c>
      <c r="C447" t="s">
        <v>190</v>
      </c>
      <c r="D447" s="8" t="s">
        <v>2</v>
      </c>
      <c r="F447" s="15" t="s">
        <v>132</v>
      </c>
      <c r="G447" s="26"/>
      <c r="H447" s="26"/>
      <c r="I447" s="26"/>
      <c r="J447" s="26"/>
      <c r="K447" s="26"/>
      <c r="L447" s="51" t="s">
        <v>673</v>
      </c>
      <c r="M447" s="5">
        <f>IF(O447&gt;0,O447,DATE(YEAR+1,June,1+7*_2nd_weekday_occurrence)-WEEKDAY(DATE(YEAR+1,June,8-Monday)))</f>
        <v>45817</v>
      </c>
      <c r="N447" s="41"/>
    </row>
    <row r="448" spans="2:14" x14ac:dyDescent="0.25">
      <c r="B448" s="4">
        <v>1467</v>
      </c>
      <c r="C448" t="s">
        <v>190</v>
      </c>
      <c r="D448" s="8" t="s">
        <v>579</v>
      </c>
      <c r="F448" s="15" t="s">
        <v>132</v>
      </c>
      <c r="G448" s="26"/>
      <c r="H448" s="26"/>
      <c r="I448" s="26"/>
      <c r="J448" s="26"/>
      <c r="K448" s="26"/>
      <c r="L448" s="51" t="s">
        <v>673</v>
      </c>
      <c r="M448" s="55">
        <f>IF(O448&gt;0,O448,DATE(YEAR+1,June,1+7*_2nd_weekday_occurrence)-WEEKDAY(DATE(YEAR+1,June,8-Monday)))</f>
        <v>45817</v>
      </c>
      <c r="N448" s="41"/>
    </row>
    <row r="449" spans="2:14" x14ac:dyDescent="0.25">
      <c r="B449" s="4">
        <v>1534</v>
      </c>
      <c r="C449" t="s">
        <v>159</v>
      </c>
      <c r="D449" s="8" t="s">
        <v>2</v>
      </c>
      <c r="F449" s="15" t="s">
        <v>132</v>
      </c>
      <c r="G449" s="26"/>
      <c r="H449" s="26"/>
      <c r="I449" s="26"/>
      <c r="J449" s="26"/>
      <c r="K449" s="26"/>
      <c r="L449" s="51" t="s">
        <v>693</v>
      </c>
      <c r="M449" s="5">
        <f>IF(O449&gt;0,O449,DATE(YEAR+1,June,1+7*_2nd_weekday_occurrence)-WEEKDAY(DATE(YEAR+1,June,8-Monday)))</f>
        <v>45817</v>
      </c>
      <c r="N449" s="41"/>
    </row>
    <row r="450" spans="2:14" x14ac:dyDescent="0.25">
      <c r="B450" s="4">
        <v>1473</v>
      </c>
      <c r="C450" t="s">
        <v>101</v>
      </c>
      <c r="D450" s="8" t="s">
        <v>2</v>
      </c>
      <c r="F450" s="15" t="s">
        <v>502</v>
      </c>
      <c r="G450" s="26"/>
      <c r="H450" s="26"/>
      <c r="I450" s="26"/>
      <c r="J450" s="26"/>
      <c r="K450" s="26"/>
      <c r="L450" s="26" t="s">
        <v>672</v>
      </c>
      <c r="M450" s="5">
        <f>IF(O450&gt;0,O450,DATE(YEAR+1,June,1+7*_2nd_weekday_occurrence)-WEEKDAY(DATE(YEAR+1,June,8-Wednesday)))</f>
        <v>45819</v>
      </c>
      <c r="N450" s="41"/>
    </row>
    <row r="451" spans="2:14" x14ac:dyDescent="0.25">
      <c r="B451" s="4">
        <v>1473</v>
      </c>
      <c r="C451" t="s">
        <v>101</v>
      </c>
      <c r="D451" s="8" t="s">
        <v>579</v>
      </c>
      <c r="E451" s="8" t="s">
        <v>225</v>
      </c>
      <c r="F451" s="15" t="s">
        <v>502</v>
      </c>
      <c r="G451" s="26"/>
      <c r="H451" s="26"/>
      <c r="I451" s="26"/>
      <c r="J451" s="26"/>
      <c r="K451" s="26"/>
      <c r="L451" s="26" t="s">
        <v>672</v>
      </c>
      <c r="M451" s="55">
        <f>IF(O451&gt;0,O451,DATE(YEAR+1,June,1+7*_2nd_weekday_occurrence)-WEEKDAY(DATE(YEAR+1,June,8-Wednesday)))</f>
        <v>45819</v>
      </c>
      <c r="N451" s="41"/>
    </row>
    <row r="452" spans="2:14" x14ac:dyDescent="0.25">
      <c r="B452" s="4">
        <v>363</v>
      </c>
      <c r="C452" t="s">
        <v>133</v>
      </c>
      <c r="D452" s="8" t="s">
        <v>2</v>
      </c>
      <c r="E452" s="8" t="s">
        <v>225</v>
      </c>
      <c r="F452" t="s">
        <v>134</v>
      </c>
      <c r="L452" s="26" t="s">
        <v>672</v>
      </c>
      <c r="M452" s="44">
        <f>IF(O452&gt;0,O452,DATE(YEAR+1,June,1+1+7*_2nd_weekday_occurrence)-WEEKDAY(DATE(YEAR+1,June,8-Wednesday)))</f>
        <v>45820</v>
      </c>
      <c r="N452" s="41"/>
    </row>
    <row r="453" spans="2:14" x14ac:dyDescent="0.25">
      <c r="B453" s="4">
        <v>1160</v>
      </c>
      <c r="C453" t="s">
        <v>78</v>
      </c>
      <c r="D453" s="8" t="s">
        <v>2</v>
      </c>
      <c r="F453" s="15" t="s">
        <v>494</v>
      </c>
      <c r="G453" s="26"/>
      <c r="H453" s="26"/>
      <c r="I453" s="26"/>
      <c r="J453" s="26"/>
      <c r="K453" s="26"/>
      <c r="L453" t="s">
        <v>693</v>
      </c>
      <c r="M453" s="5">
        <f>IF(O453&gt;0,O453,DATE(YEAR+1,June,1+7*_2nd_weekday_occurrence)-WEEKDAY(DATE(YEAR+1,June,8-Thursday)))</f>
        <v>45820</v>
      </c>
      <c r="N453" s="41"/>
    </row>
    <row r="454" spans="2:14" x14ac:dyDescent="0.25">
      <c r="B454" s="4">
        <v>1160</v>
      </c>
      <c r="C454" t="s">
        <v>78</v>
      </c>
      <c r="D454" s="8" t="s">
        <v>579</v>
      </c>
      <c r="E454" s="8" t="s">
        <v>225</v>
      </c>
      <c r="F454" s="15" t="s">
        <v>494</v>
      </c>
      <c r="G454" s="26"/>
      <c r="H454" s="26"/>
      <c r="I454" s="26"/>
      <c r="J454" s="26"/>
      <c r="K454" s="26"/>
      <c r="L454" t="s">
        <v>693</v>
      </c>
      <c r="M454" s="55">
        <f>IF(O454&gt;0,O454,DATE(YEAR+1,June,1+7*_2nd_weekday_occurrence)-WEEKDAY(DATE(YEAR+1,June,8-Thursday)))</f>
        <v>45820</v>
      </c>
      <c r="N454" s="41"/>
    </row>
    <row r="455" spans="2:14" x14ac:dyDescent="0.25">
      <c r="B455" s="4">
        <v>1767</v>
      </c>
      <c r="C455" t="s">
        <v>171</v>
      </c>
      <c r="D455" s="8" t="s">
        <v>2</v>
      </c>
      <c r="F455" s="14" t="s">
        <v>494</v>
      </c>
      <c r="G455" s="26"/>
      <c r="H455" s="26"/>
      <c r="I455" s="26"/>
      <c r="J455" s="26"/>
      <c r="K455" s="26"/>
      <c r="L455" s="42" t="s">
        <v>709</v>
      </c>
      <c r="M455" s="5">
        <f>IF(O455&gt;0,O455,DATE(YEAR+1,June,1+7*_2nd_weekday_occurrence)-WEEKDAY(DATE(YEAR+1,June,8-Thursday)))</f>
        <v>45820</v>
      </c>
      <c r="N455" s="41"/>
    </row>
    <row r="456" spans="2:14" x14ac:dyDescent="0.25">
      <c r="B456" s="4">
        <v>1457</v>
      </c>
      <c r="C456" t="s">
        <v>161</v>
      </c>
      <c r="D456" s="8" t="s">
        <v>2</v>
      </c>
      <c r="F456" s="15" t="s">
        <v>501</v>
      </c>
      <c r="G456" s="26"/>
      <c r="H456" s="26"/>
      <c r="I456" s="26"/>
      <c r="J456" s="26"/>
      <c r="K456" s="26"/>
      <c r="L456" t="s">
        <v>693</v>
      </c>
      <c r="M456" s="5">
        <f>IF(O456&gt;0,O456,DATE(YEAR+1,June,1+7*_2nd_weekday_occurrence)-WEEKDAY(DATE(YEAR+1,June,8-Friday)))</f>
        <v>45821</v>
      </c>
      <c r="N456" s="41"/>
    </row>
    <row r="457" spans="2:14" x14ac:dyDescent="0.25">
      <c r="B457" s="4">
        <v>1457</v>
      </c>
      <c r="C457" t="s">
        <v>161</v>
      </c>
      <c r="D457" s="8" t="s">
        <v>579</v>
      </c>
      <c r="F457" s="15" t="s">
        <v>501</v>
      </c>
      <c r="G457" s="26"/>
      <c r="H457" s="26"/>
      <c r="I457" s="26"/>
      <c r="J457" s="26"/>
      <c r="K457" s="26"/>
      <c r="L457" t="s">
        <v>693</v>
      </c>
      <c r="M457" s="55">
        <f>IF(O457&gt;0,O457,DATE(YEAR+1,June,1+7*_2nd_weekday_occurrence)-WEEKDAY(DATE(YEAR+1,June,8-Friday)))</f>
        <v>45821</v>
      </c>
      <c r="N457" s="41"/>
    </row>
    <row r="458" spans="2:14" x14ac:dyDescent="0.25">
      <c r="B458" s="4">
        <v>616</v>
      </c>
      <c r="C458" t="s">
        <v>42</v>
      </c>
      <c r="D458" s="8" t="s">
        <v>2</v>
      </c>
      <c r="F458" s="15" t="s">
        <v>468</v>
      </c>
      <c r="G458" s="26"/>
      <c r="H458" s="26"/>
      <c r="I458" s="26"/>
      <c r="J458" s="26"/>
      <c r="K458" s="26"/>
      <c r="L458" s="51" t="s">
        <v>673</v>
      </c>
      <c r="M458" s="5">
        <f>IF(O458&gt;0,O458,DATE(YEAR+1,June,1+7*_2nd_weekday_occurrence)-WEEKDAY(DATE(YEAR+1,June,8-Saturday)))</f>
        <v>45822</v>
      </c>
      <c r="N458" s="41"/>
    </row>
    <row r="459" spans="2:14" x14ac:dyDescent="0.25">
      <c r="B459" s="4">
        <v>616</v>
      </c>
      <c r="C459" t="s">
        <v>42</v>
      </c>
      <c r="D459" s="8" t="s">
        <v>579</v>
      </c>
      <c r="F459" s="15" t="s">
        <v>468</v>
      </c>
      <c r="G459" s="26"/>
      <c r="H459" s="26"/>
      <c r="I459" s="26"/>
      <c r="J459" s="26"/>
      <c r="K459" s="26"/>
      <c r="L459" s="51" t="s">
        <v>673</v>
      </c>
      <c r="M459" s="55">
        <f>IF(O459&gt;0,O459,DATE(YEAR+1,June,1+7*_2nd_weekday_occurrence)-WEEKDAY(DATE(YEAR+1,June,8-Saturday)))</f>
        <v>45822</v>
      </c>
      <c r="N459" s="41"/>
    </row>
    <row r="460" spans="2:14" x14ac:dyDescent="0.25">
      <c r="B460" s="4">
        <v>1</v>
      </c>
      <c r="C460" t="s">
        <v>578</v>
      </c>
      <c r="D460" s="8" t="s">
        <v>579</v>
      </c>
      <c r="E460" s="8" t="s">
        <v>225</v>
      </c>
      <c r="F460" s="14" t="s">
        <v>136</v>
      </c>
      <c r="L460" s="42" t="s">
        <v>709</v>
      </c>
      <c r="M460" s="55">
        <f>IF(O460&gt;0,O460,DATE(YEAR+1,June,1+7*_3rd_weekday_occurrence)-WEEKDAY(DATE(YEAR+1,June,8-Monday)))</f>
        <v>45824</v>
      </c>
      <c r="N460" s="41"/>
    </row>
    <row r="461" spans="2:14" x14ac:dyDescent="0.25">
      <c r="B461" s="4">
        <v>454</v>
      </c>
      <c r="C461" t="s">
        <v>135</v>
      </c>
      <c r="D461" s="8" t="s">
        <v>2</v>
      </c>
      <c r="E461" s="8" t="s">
        <v>225</v>
      </c>
      <c r="F461" s="42" t="s">
        <v>136</v>
      </c>
      <c r="G461" s="26"/>
      <c r="H461" s="26"/>
      <c r="I461" s="26"/>
      <c r="J461" s="26"/>
      <c r="K461" s="26"/>
      <c r="L461" s="51" t="s">
        <v>673</v>
      </c>
      <c r="M461" s="5">
        <f>IF(O461&gt;0,O461,DATE(YEAR+1,June,1+7*_3rd_weekday_occurrence)-WEEKDAY(DATE(YEAR+1,June,8-Monday)))</f>
        <v>45824</v>
      </c>
      <c r="N461" s="41"/>
    </row>
    <row r="462" spans="2:14" x14ac:dyDescent="0.25">
      <c r="B462" s="4">
        <v>454</v>
      </c>
      <c r="C462" t="s">
        <v>135</v>
      </c>
      <c r="D462" s="8" t="s">
        <v>579</v>
      </c>
      <c r="F462" s="42" t="s">
        <v>136</v>
      </c>
      <c r="G462" s="26"/>
      <c r="H462" s="26"/>
      <c r="I462" s="26"/>
      <c r="J462" s="26"/>
      <c r="K462" s="26"/>
      <c r="L462" s="51" t="s">
        <v>673</v>
      </c>
      <c r="M462" s="55">
        <f>IF(O462&gt;0,O462,DATE(YEAR+1,June,1+7*_3rd_weekday_occurrence)-WEEKDAY(DATE(YEAR+1,June,8-Monday)))</f>
        <v>45824</v>
      </c>
      <c r="N462" s="41"/>
    </row>
    <row r="463" spans="2:14" x14ac:dyDescent="0.25">
      <c r="B463" s="4">
        <v>459</v>
      </c>
      <c r="C463" t="s">
        <v>137</v>
      </c>
      <c r="D463" s="8" t="s">
        <v>2</v>
      </c>
      <c r="E463" s="8" t="s">
        <v>225</v>
      </c>
      <c r="F463" s="42" t="s">
        <v>136</v>
      </c>
      <c r="G463" s="26"/>
      <c r="H463" s="26"/>
      <c r="I463" s="26"/>
      <c r="J463" s="26"/>
      <c r="K463" s="26"/>
      <c r="L463" s="42" t="s">
        <v>672</v>
      </c>
      <c r="M463" s="5">
        <f>IF(O463&gt;0,O463,DATE(YEAR+1,June,1+7*_3rd_weekday_occurrence)-WEEKDAY(DATE(YEAR+1,June,8-Monday)))</f>
        <v>45824</v>
      </c>
      <c r="N463" s="41"/>
    </row>
    <row r="464" spans="2:14" x14ac:dyDescent="0.25">
      <c r="B464" s="4">
        <v>459</v>
      </c>
      <c r="C464" t="s">
        <v>137</v>
      </c>
      <c r="D464" s="8" t="s">
        <v>579</v>
      </c>
      <c r="F464" s="42" t="s">
        <v>136</v>
      </c>
      <c r="G464" s="26"/>
      <c r="H464" s="26"/>
      <c r="I464" s="26"/>
      <c r="J464" s="26"/>
      <c r="K464" s="26"/>
      <c r="L464" s="42" t="s">
        <v>672</v>
      </c>
      <c r="M464" s="55">
        <f>IF(O464&gt;0,O464,DATE(YEAR+1,June,1+7*_3rd_weekday_occurrence)-WEEKDAY(DATE(YEAR+1,June,8-Monday)))</f>
        <v>45824</v>
      </c>
      <c r="N464" s="41"/>
    </row>
    <row r="465" spans="2:14" x14ac:dyDescent="0.25">
      <c r="B465" s="4">
        <v>1071</v>
      </c>
      <c r="C465" t="s">
        <v>141</v>
      </c>
      <c r="D465" s="8" t="s">
        <v>2</v>
      </c>
      <c r="E465" s="8" t="s">
        <v>225</v>
      </c>
      <c r="F465" s="42" t="s">
        <v>140</v>
      </c>
      <c r="G465" s="26"/>
      <c r="H465" s="26"/>
      <c r="I465" s="26"/>
      <c r="J465" s="26"/>
      <c r="K465" s="26"/>
      <c r="L465" t="s">
        <v>710</v>
      </c>
      <c r="M465" s="5">
        <f>IF(O465&gt;0,O465,DATE(YEAR+1,June,1+7*_3rd_weekday_occurrence)-WEEKDAY(DATE(YEAR+1,June,8-Tuesday)))</f>
        <v>45825</v>
      </c>
      <c r="N465" s="41"/>
    </row>
    <row r="466" spans="2:14" x14ac:dyDescent="0.25">
      <c r="B466" s="4">
        <v>1071</v>
      </c>
      <c r="C466" t="s">
        <v>141</v>
      </c>
      <c r="D466" s="8" t="s">
        <v>579</v>
      </c>
      <c r="E466" s="8" t="s">
        <v>225</v>
      </c>
      <c r="F466" s="42" t="s">
        <v>140</v>
      </c>
      <c r="G466" s="26"/>
      <c r="H466" s="26"/>
      <c r="I466" s="26"/>
      <c r="J466" s="26"/>
      <c r="K466" s="26"/>
      <c r="L466" t="s">
        <v>710</v>
      </c>
      <c r="M466" s="55">
        <f>IF(O466&gt;0,O466,DATE(YEAR+1,June,1+7*_3rd_weekday_occurrence)-WEEKDAY(DATE(YEAR+1,June,8-Tuesday)))</f>
        <v>45825</v>
      </c>
      <c r="N466" s="41"/>
    </row>
    <row r="467" spans="2:14" x14ac:dyDescent="0.25">
      <c r="B467" s="4" t="s">
        <v>138</v>
      </c>
      <c r="C467" t="s">
        <v>139</v>
      </c>
      <c r="D467" s="8" t="s">
        <v>2</v>
      </c>
      <c r="E467" s="8" t="s">
        <v>225</v>
      </c>
      <c r="F467" s="42" t="s">
        <v>140</v>
      </c>
      <c r="G467" s="26"/>
      <c r="H467" s="26"/>
      <c r="I467" s="26"/>
      <c r="J467" s="26"/>
      <c r="K467" s="26"/>
      <c r="L467" s="51" t="s">
        <v>673</v>
      </c>
      <c r="M467" s="5">
        <f>IF(O467&gt;0,O467,DATE(YEAR+1,June,1+7*_3rd_weekday_occurrence)-WEEKDAY(DATE(YEAR+1,June,8-Tuesday)))</f>
        <v>45825</v>
      </c>
    </row>
    <row r="468" spans="2:14" x14ac:dyDescent="0.25">
      <c r="B468" s="4">
        <v>987</v>
      </c>
      <c r="C468" t="s">
        <v>173</v>
      </c>
      <c r="D468" s="8" t="s">
        <v>2</v>
      </c>
      <c r="F468" s="15" t="s">
        <v>484</v>
      </c>
      <c r="G468" s="26"/>
      <c r="H468" s="26"/>
      <c r="I468" s="26"/>
      <c r="J468" s="26"/>
      <c r="K468" s="26"/>
      <c r="L468" s="26" t="s">
        <v>672</v>
      </c>
      <c r="M468" s="5">
        <f>IF(O468&gt;0,O468,DATE(YEAR+1,June,1+7*_3rd_weekday_occurrence)-WEEKDAY(DATE(YEAR+1,June,8-Wednesday)))</f>
        <v>45826</v>
      </c>
      <c r="N468" s="41"/>
    </row>
    <row r="469" spans="2:14" x14ac:dyDescent="0.25">
      <c r="B469" s="4">
        <v>1152</v>
      </c>
      <c r="C469" t="s">
        <v>155</v>
      </c>
      <c r="D469" s="8" t="s">
        <v>2</v>
      </c>
      <c r="F469" s="15" t="s">
        <v>484</v>
      </c>
      <c r="G469" s="26"/>
      <c r="H469" s="26"/>
      <c r="I469" s="26"/>
      <c r="J469" s="26"/>
      <c r="K469" s="26"/>
      <c r="L469" s="5" t="s">
        <v>672</v>
      </c>
      <c r="M469" s="5">
        <f>IF(O469&gt;0,O469,DATE(YEAR+1,June,1+7*_3rd_weekday_occurrence)-WEEKDAY(DATE(YEAR+1,June,8-Wednesday)))</f>
        <v>45826</v>
      </c>
      <c r="N469" s="41"/>
    </row>
    <row r="470" spans="2:14" x14ac:dyDescent="0.25">
      <c r="B470" s="4">
        <v>1152</v>
      </c>
      <c r="C470" t="s">
        <v>155</v>
      </c>
      <c r="D470" s="8" t="s">
        <v>579</v>
      </c>
      <c r="F470" s="15" t="s">
        <v>484</v>
      </c>
      <c r="G470" s="26"/>
      <c r="H470" s="26"/>
      <c r="I470" s="26"/>
      <c r="J470" s="26"/>
      <c r="K470" s="26"/>
      <c r="L470" s="5" t="s">
        <v>672</v>
      </c>
      <c r="M470" s="55">
        <f>IF(O470&gt;0,O470,DATE(YEAR+1,June,1+7*_3rd_weekday_occurrence)-WEEKDAY(DATE(YEAR+1,June,8-Wednesday)))</f>
        <v>45826</v>
      </c>
      <c r="N470" s="41"/>
    </row>
    <row r="471" spans="2:14" x14ac:dyDescent="0.25">
      <c r="B471" s="4">
        <v>239</v>
      </c>
      <c r="C471" t="s">
        <v>12</v>
      </c>
      <c r="D471" s="8" t="s">
        <v>2</v>
      </c>
      <c r="F471" s="15" t="s">
        <v>453</v>
      </c>
      <c r="G471" s="26"/>
      <c r="H471" s="26"/>
      <c r="I471" s="26"/>
      <c r="J471" s="26"/>
      <c r="K471" s="26"/>
      <c r="L471" s="51" t="s">
        <v>673</v>
      </c>
      <c r="M471" s="44">
        <f>IF(O471&gt;0,O471,DATE(YEAR+1,June,1+7*_3rd_weekday_occurrence)-WEEKDAY(DATE(YEAR+1,June,8-Thursday)))</f>
        <v>45827</v>
      </c>
      <c r="N471" s="41"/>
    </row>
    <row r="472" spans="2:14" x14ac:dyDescent="0.25">
      <c r="B472" s="4">
        <v>239</v>
      </c>
      <c r="C472" t="s">
        <v>12</v>
      </c>
      <c r="D472" s="8" t="s">
        <v>579</v>
      </c>
      <c r="E472" s="8" t="s">
        <v>225</v>
      </c>
      <c r="F472" s="15" t="s">
        <v>453</v>
      </c>
      <c r="G472" s="26"/>
      <c r="H472" s="26"/>
      <c r="I472" s="26"/>
      <c r="J472" s="26"/>
      <c r="K472" s="26"/>
      <c r="L472" s="51" t="s">
        <v>673</v>
      </c>
      <c r="M472" s="44">
        <f>IF(O472&gt;0,O472,DATE(YEAR+1,June,1+7*_3rd_weekday_occurrence)-WEEKDAY(DATE(YEAR+1,June,8-Thursday)))</f>
        <v>45827</v>
      </c>
      <c r="N472" s="41"/>
    </row>
    <row r="473" spans="2:14" x14ac:dyDescent="0.25">
      <c r="B473" s="4">
        <v>399</v>
      </c>
      <c r="C473" t="s">
        <v>18</v>
      </c>
      <c r="D473" s="8" t="s">
        <v>2</v>
      </c>
      <c r="F473" s="15" t="s">
        <v>453</v>
      </c>
      <c r="G473" s="26"/>
      <c r="H473" s="26"/>
      <c r="I473" s="26"/>
      <c r="J473" s="26"/>
      <c r="K473" s="26"/>
      <c r="L473" s="26" t="s">
        <v>672</v>
      </c>
      <c r="M473" s="5">
        <f>IF(O473&gt;0,O473,DATE(YEAR+1,June,1+7*_3rd_weekday_occurrence)-WEEKDAY(DATE(YEAR+1,June,8-Thursday)))</f>
        <v>45827</v>
      </c>
      <c r="N473" s="41"/>
    </row>
    <row r="474" spans="2:14" x14ac:dyDescent="0.25">
      <c r="B474" s="4">
        <v>828</v>
      </c>
      <c r="C474" t="s">
        <v>111</v>
      </c>
      <c r="D474" s="8" t="s">
        <v>579</v>
      </c>
      <c r="E474" s="8" t="s">
        <v>225</v>
      </c>
      <c r="F474" s="42" t="s">
        <v>453</v>
      </c>
      <c r="G474" s="26"/>
      <c r="H474" s="26"/>
      <c r="I474" s="26"/>
      <c r="J474" s="26"/>
      <c r="K474" s="26"/>
      <c r="L474" t="s">
        <v>709</v>
      </c>
      <c r="M474" s="55">
        <f>IF(O474&gt;0,O474,DATE(YEAR+1,June,1+7*_3rd_weekday_occurrence)-WEEKDAY(DATE(YEAR+1,June,8-Thursday)))</f>
        <v>45827</v>
      </c>
      <c r="N474" s="41"/>
    </row>
    <row r="475" spans="2:14" x14ac:dyDescent="0.25">
      <c r="B475" s="4">
        <v>728</v>
      </c>
      <c r="C475" t="s">
        <v>86</v>
      </c>
      <c r="D475" s="8" t="s">
        <v>2</v>
      </c>
      <c r="F475" s="15" t="s">
        <v>473</v>
      </c>
      <c r="G475" s="26"/>
      <c r="H475" s="26"/>
      <c r="I475" s="26"/>
      <c r="J475" s="26"/>
      <c r="K475" s="26"/>
      <c r="L475" t="s">
        <v>708</v>
      </c>
      <c r="M475" s="5">
        <f>IF(O475&gt;0,O475,DATE(YEAR+1,June,1+7*_3rd_weekday_occurrence)-WEEKDAY(DATE(YEAR+1,June,8-Friday)))</f>
        <v>45828</v>
      </c>
      <c r="N475" s="41"/>
    </row>
    <row r="476" spans="2:14" x14ac:dyDescent="0.25">
      <c r="B476" s="4">
        <v>728</v>
      </c>
      <c r="C476" t="s">
        <v>86</v>
      </c>
      <c r="D476" s="8" t="s">
        <v>579</v>
      </c>
      <c r="F476" s="15" t="s">
        <v>473</v>
      </c>
      <c r="G476" s="26"/>
      <c r="H476" s="26"/>
      <c r="I476" s="26"/>
      <c r="J476" s="26"/>
      <c r="K476" s="26"/>
      <c r="L476" t="s">
        <v>708</v>
      </c>
      <c r="M476" s="55">
        <f>IF(O476&gt;0,O476,DATE(YEAR+1,June,1+7*_3rd_weekday_occurrence)-WEEKDAY(DATE(YEAR+1,June,8-Friday)))</f>
        <v>45828</v>
      </c>
      <c r="N476" s="41"/>
    </row>
    <row r="477" spans="2:14" x14ac:dyDescent="0.25">
      <c r="B477" s="4">
        <v>997</v>
      </c>
      <c r="C477" t="s">
        <v>88</v>
      </c>
      <c r="D477" s="8" t="s">
        <v>2</v>
      </c>
      <c r="F477" s="42" t="s">
        <v>473</v>
      </c>
      <c r="G477" s="26"/>
      <c r="H477" s="26"/>
      <c r="I477" s="26"/>
      <c r="J477" s="26"/>
      <c r="K477" s="26"/>
      <c r="L477" t="s">
        <v>710</v>
      </c>
      <c r="M477" s="5">
        <f>IF(O477&gt;0,O477,DATE(YEAR+1,June,1+7*_3rd_weekday_occurrence)-WEEKDAY(DATE(YEAR+1,June,8-Friday)))</f>
        <v>45828</v>
      </c>
      <c r="N477" s="41"/>
    </row>
    <row r="478" spans="2:14" x14ac:dyDescent="0.25">
      <c r="B478" s="4">
        <v>997</v>
      </c>
      <c r="C478" t="s">
        <v>88</v>
      </c>
      <c r="D478" s="8" t="s">
        <v>579</v>
      </c>
      <c r="F478" s="42" t="s">
        <v>473</v>
      </c>
      <c r="G478" s="26"/>
      <c r="H478" s="26"/>
      <c r="I478" s="26"/>
      <c r="J478" s="26"/>
      <c r="K478" s="26"/>
      <c r="L478" t="s">
        <v>710</v>
      </c>
      <c r="M478" s="55">
        <f>IF(O478&gt;0,O478,DATE(YEAR+1,June,1+7*_3rd_weekday_occurrence)-WEEKDAY(DATE(YEAR+1,June,8-Friday)))</f>
        <v>45828</v>
      </c>
      <c r="N478" s="41"/>
    </row>
    <row r="479" spans="2:14" x14ac:dyDescent="0.25">
      <c r="B479" s="4">
        <v>1989</v>
      </c>
      <c r="C479" t="s">
        <v>113</v>
      </c>
      <c r="D479" s="8" t="s">
        <v>2</v>
      </c>
      <c r="F479" s="15" t="s">
        <v>473</v>
      </c>
      <c r="G479" s="26"/>
      <c r="H479" s="26"/>
      <c r="I479" s="26"/>
      <c r="J479" s="26"/>
      <c r="K479" s="26"/>
      <c r="L479" t="s">
        <v>693</v>
      </c>
      <c r="M479" s="5">
        <f>IF(O479&gt;0,O479,DATE(YEAR+1,June,1+7*_3rd_weekday_occurrence)-WEEKDAY(DATE(YEAR+1,June,8-Friday)))</f>
        <v>45828</v>
      </c>
      <c r="N479" s="41"/>
    </row>
    <row r="480" spans="2:14" x14ac:dyDescent="0.25">
      <c r="B480" s="4">
        <v>1989</v>
      </c>
      <c r="C480" t="s">
        <v>113</v>
      </c>
      <c r="D480" s="8" t="s">
        <v>579</v>
      </c>
      <c r="F480" s="42" t="s">
        <v>473</v>
      </c>
      <c r="G480" s="26"/>
      <c r="H480" s="26"/>
      <c r="I480" s="26"/>
      <c r="J480" s="26"/>
      <c r="K480" s="26"/>
      <c r="L480" s="51" t="s">
        <v>693</v>
      </c>
      <c r="M480" s="55">
        <f>IF(O480&gt;0,O480,DATE(YEAR+1,June,1+7*_3rd_weekday_occurrence)-WEEKDAY(DATE(YEAR+1,June,8-Friday)))</f>
        <v>45828</v>
      </c>
    </row>
    <row r="481" spans="2:14" x14ac:dyDescent="0.25">
      <c r="B481" s="4">
        <v>176</v>
      </c>
      <c r="C481" t="s">
        <v>188</v>
      </c>
      <c r="D481" s="8" t="s">
        <v>2</v>
      </c>
      <c r="F481" s="14" t="s">
        <v>446</v>
      </c>
      <c r="G481" s="26"/>
      <c r="H481" s="26"/>
      <c r="I481" s="26"/>
      <c r="J481" s="26"/>
      <c r="K481" s="26"/>
      <c r="L481" s="5" t="s">
        <v>709</v>
      </c>
      <c r="M481" s="5">
        <f>IF(O481&gt;0,O481,DATE(YEAR+1,June,1+7*_3rd_weekday_occurrence)-WEEKDAY(DATE(YEAR+1,June,8-Saturday)))</f>
        <v>45829</v>
      </c>
      <c r="N481" s="41"/>
    </row>
    <row r="482" spans="2:14" x14ac:dyDescent="0.25">
      <c r="B482" s="4">
        <v>176</v>
      </c>
      <c r="C482" t="s">
        <v>188</v>
      </c>
      <c r="D482" s="8" t="s">
        <v>579</v>
      </c>
      <c r="F482" s="14" t="s">
        <v>446</v>
      </c>
      <c r="G482" s="26"/>
      <c r="H482" s="26"/>
      <c r="I482" s="26"/>
      <c r="J482" s="26"/>
      <c r="K482" s="26"/>
      <c r="L482" s="5" t="s">
        <v>709</v>
      </c>
      <c r="M482" s="55">
        <f>IF(O482&gt;0,O482,DATE(YEAR+1,June,1+7*_3rd_weekday_occurrence)-WEEKDAY(DATE(YEAR+1,June,8-Saturday)))</f>
        <v>45829</v>
      </c>
      <c r="N482" s="41"/>
    </row>
    <row r="483" spans="2:14" x14ac:dyDescent="0.25">
      <c r="B483" s="4">
        <v>411</v>
      </c>
      <c r="C483" t="s">
        <v>69</v>
      </c>
      <c r="D483" s="8" t="s">
        <v>2</v>
      </c>
      <c r="F483" s="15" t="s">
        <v>143</v>
      </c>
      <c r="G483" s="26"/>
      <c r="H483" s="26"/>
      <c r="I483" s="26"/>
      <c r="J483" s="26"/>
      <c r="K483" s="26"/>
      <c r="L483" s="42" t="s">
        <v>709</v>
      </c>
      <c r="M483" s="5">
        <f>IF(O483&gt;0,O483,DATE(YEAR+1,June,1+7*_4th_weekday_occurrence)-WEEKDAY(DATE(YEAR+1,June,8-Monday)))</f>
        <v>45831</v>
      </c>
      <c r="N483" s="41"/>
    </row>
    <row r="484" spans="2:14" x14ac:dyDescent="0.25">
      <c r="B484" s="4">
        <v>411</v>
      </c>
      <c r="C484" t="s">
        <v>69</v>
      </c>
      <c r="D484" s="8" t="s">
        <v>579</v>
      </c>
      <c r="E484" s="8" t="s">
        <v>225</v>
      </c>
      <c r="F484" s="15" t="s">
        <v>143</v>
      </c>
      <c r="G484" s="26"/>
      <c r="H484" s="26"/>
      <c r="I484" s="26"/>
      <c r="J484" s="26"/>
      <c r="K484" s="26"/>
      <c r="L484" s="42" t="s">
        <v>709</v>
      </c>
      <c r="M484" s="55">
        <f>IF(O484&gt;0,O484,DATE(YEAR+1,June,1+7*_4th_weekday_occurrence)-WEEKDAY(DATE(YEAR+1,June,8-Monday)))</f>
        <v>45831</v>
      </c>
      <c r="N484" s="41"/>
    </row>
    <row r="485" spans="2:14" x14ac:dyDescent="0.25">
      <c r="B485" s="4">
        <v>458</v>
      </c>
      <c r="C485" t="s">
        <v>72</v>
      </c>
      <c r="D485" s="8" t="s">
        <v>2</v>
      </c>
      <c r="F485" s="15" t="s">
        <v>143</v>
      </c>
      <c r="G485" s="26"/>
      <c r="H485" s="26"/>
      <c r="I485" s="26"/>
      <c r="J485" s="26"/>
      <c r="K485" s="26"/>
      <c r="L485" s="51" t="s">
        <v>673</v>
      </c>
      <c r="M485" s="5">
        <f>IF(O485&gt;0,O485,DATE(YEAR+1,June,1+7*_4th_weekday_occurrence)-WEEKDAY(DATE(YEAR+1,June,8-Monday)))</f>
        <v>45831</v>
      </c>
      <c r="N485" s="41"/>
    </row>
    <row r="486" spans="2:14" x14ac:dyDescent="0.25">
      <c r="B486" s="4">
        <v>786</v>
      </c>
      <c r="C486" t="s">
        <v>142</v>
      </c>
      <c r="D486" s="8" t="s">
        <v>2</v>
      </c>
      <c r="E486" s="8" t="s">
        <v>225</v>
      </c>
      <c r="F486" s="42" t="s">
        <v>143</v>
      </c>
      <c r="G486" s="26"/>
      <c r="H486" s="26"/>
      <c r="I486" s="26"/>
      <c r="J486" s="26"/>
      <c r="K486" s="26"/>
      <c r="L486" t="s">
        <v>693</v>
      </c>
      <c r="M486" s="5">
        <f>IF(O486&gt;0,O486,DATE(YEAR+1,June,1+7*_4th_weekday_occurrence)-WEEKDAY(DATE(YEAR+1,June,8-Monday)))</f>
        <v>45831</v>
      </c>
      <c r="N486" s="41"/>
    </row>
    <row r="487" spans="2:14" x14ac:dyDescent="0.25">
      <c r="B487" s="4">
        <v>786</v>
      </c>
      <c r="C487" t="s">
        <v>142</v>
      </c>
      <c r="D487" s="8" t="s">
        <v>579</v>
      </c>
      <c r="F487" s="42" t="s">
        <v>143</v>
      </c>
      <c r="G487" s="26"/>
      <c r="H487" s="26"/>
      <c r="I487" s="26"/>
      <c r="J487" s="26"/>
      <c r="K487" s="26"/>
      <c r="L487" t="s">
        <v>693</v>
      </c>
      <c r="M487" s="55">
        <f>IF(O487&gt;0,O487,DATE(YEAR+1,June,1+7*_4th_weekday_occurrence)-WEEKDAY(DATE(YEAR+1,June,8-Monday)))</f>
        <v>45831</v>
      </c>
      <c r="N487" s="41"/>
    </row>
    <row r="488" spans="2:14" x14ac:dyDescent="0.25">
      <c r="B488" s="4">
        <v>418</v>
      </c>
      <c r="C488" t="s">
        <v>91</v>
      </c>
      <c r="D488" s="8" t="s">
        <v>2</v>
      </c>
      <c r="F488" s="15" t="s">
        <v>717</v>
      </c>
      <c r="L488" s="51" t="s">
        <v>709</v>
      </c>
      <c r="M488" s="56">
        <f>IF(O488&gt;0,O488,DATE(YEAR+1,June,1+7*_4th_weekday_occurrence)-WEEKDAY(DATE(YEAR+1,June,8-Tuesday)))</f>
        <v>45832</v>
      </c>
    </row>
    <row r="489" spans="2:14" x14ac:dyDescent="0.25">
      <c r="B489" s="4">
        <v>418</v>
      </c>
      <c r="C489" t="s">
        <v>91</v>
      </c>
      <c r="D489" s="8" t="s">
        <v>579</v>
      </c>
      <c r="F489" s="15" t="s">
        <v>717</v>
      </c>
      <c r="L489" s="51" t="s">
        <v>709</v>
      </c>
      <c r="M489" s="55">
        <f>IF(O489&gt;0,O489,DATE(YEAR+1,June,1+7*_4th_weekday_occurrence)-WEEKDAY(DATE(YEAR+1,June,8-Tuesday)))</f>
        <v>45832</v>
      </c>
    </row>
    <row r="490" spans="2:14" x14ac:dyDescent="0.25">
      <c r="B490" s="4">
        <v>801</v>
      </c>
      <c r="C490" t="s">
        <v>6</v>
      </c>
      <c r="D490" s="8" t="s">
        <v>2</v>
      </c>
      <c r="F490" s="15" t="s">
        <v>145</v>
      </c>
      <c r="G490" s="26"/>
      <c r="H490" s="26"/>
      <c r="I490" s="26"/>
      <c r="J490" s="26"/>
      <c r="K490" s="26"/>
      <c r="L490" s="42" t="s">
        <v>708</v>
      </c>
      <c r="M490" s="5">
        <f>IF(O490&gt;0,O490,DATE(YEAR+1,June,1+7*_4th_weekday_occurrence)-WEEKDAY(DATE(YEAR+1,June,8-Tuesday)))</f>
        <v>45832</v>
      </c>
      <c r="N490" s="41"/>
    </row>
    <row r="491" spans="2:14" x14ac:dyDescent="0.25">
      <c r="B491" s="4">
        <v>801</v>
      </c>
      <c r="C491" t="s">
        <v>6</v>
      </c>
      <c r="D491" s="8" t="s">
        <v>579</v>
      </c>
      <c r="F491" s="15" t="s">
        <v>145</v>
      </c>
      <c r="G491" s="26"/>
      <c r="H491" s="26"/>
      <c r="I491" s="26"/>
      <c r="J491" s="26"/>
      <c r="K491" s="26"/>
      <c r="L491" s="42" t="s">
        <v>708</v>
      </c>
      <c r="M491" s="55">
        <f>IF(O491&gt;0,O491,DATE(YEAR+1,June,1+7*_4th_weekday_occurrence)-WEEKDAY(DATE(YEAR+1,June,8-Tuesday)))</f>
        <v>45832</v>
      </c>
      <c r="N491" s="41"/>
    </row>
    <row r="492" spans="2:14" x14ac:dyDescent="0.25">
      <c r="B492" s="4">
        <v>1994</v>
      </c>
      <c r="C492" t="s">
        <v>185</v>
      </c>
      <c r="D492" s="8" t="s">
        <v>2</v>
      </c>
      <c r="F492" s="15" t="s">
        <v>145</v>
      </c>
      <c r="G492" s="26"/>
      <c r="H492" s="26"/>
      <c r="I492" s="26"/>
      <c r="J492" s="26"/>
      <c r="K492" s="26"/>
      <c r="L492" s="51" t="s">
        <v>673</v>
      </c>
      <c r="M492" s="5">
        <f>IF(O492&gt;0,O492,DATE(YEAR+1,June,1+7*_4th_weekday_occurrence)-WEEKDAY(DATE(YEAR+1,June,8-Tuesday)))</f>
        <v>45832</v>
      </c>
      <c r="N492" s="41"/>
    </row>
    <row r="493" spans="2:14" x14ac:dyDescent="0.25">
      <c r="B493" s="4">
        <v>2003</v>
      </c>
      <c r="C493" t="s">
        <v>144</v>
      </c>
      <c r="D493" s="8" t="s">
        <v>2</v>
      </c>
      <c r="E493" s="8" t="s">
        <v>225</v>
      </c>
      <c r="F493" s="42" t="s">
        <v>145</v>
      </c>
      <c r="G493" s="26"/>
      <c r="H493" s="26"/>
      <c r="I493" s="26"/>
      <c r="J493" s="26"/>
      <c r="K493" s="26"/>
      <c r="L493" s="5" t="s">
        <v>672</v>
      </c>
      <c r="M493" s="5">
        <f>IF(O493&gt;0,O493,DATE(YEAR+1,June,1+7*_4th_weekday_occurrence)-WEEKDAY(DATE(YEAR+1,June,8-Tuesday)))</f>
        <v>45832</v>
      </c>
    </row>
    <row r="494" spans="2:14" x14ac:dyDescent="0.25">
      <c r="B494" s="4">
        <v>2003</v>
      </c>
      <c r="C494" t="s">
        <v>681</v>
      </c>
      <c r="D494" s="8" t="s">
        <v>579</v>
      </c>
      <c r="F494" s="54" t="s">
        <v>145</v>
      </c>
      <c r="L494" s="51" t="s">
        <v>672</v>
      </c>
      <c r="M494" s="55">
        <f>IF(O494&gt;0,O494,DATE(YEAR+1,June,1+7*_4th_weekday_occurrence)-WEEKDAY(DATE(YEAR+1,June,8-Tuesday)))</f>
        <v>45832</v>
      </c>
    </row>
    <row r="495" spans="2:14" x14ac:dyDescent="0.25">
      <c r="B495" s="4">
        <v>238</v>
      </c>
      <c r="C495" t="s">
        <v>146</v>
      </c>
      <c r="D495" s="8" t="s">
        <v>2</v>
      </c>
      <c r="E495" s="8" t="s">
        <v>225</v>
      </c>
      <c r="F495" s="42" t="s">
        <v>147</v>
      </c>
      <c r="G495" s="26"/>
      <c r="H495" s="26"/>
      <c r="I495" s="26"/>
      <c r="J495" s="26"/>
      <c r="K495" s="26"/>
      <c r="L495" t="s">
        <v>708</v>
      </c>
      <c r="M495" s="44">
        <f>IF(O495&gt;0,O495,DATE(YEAR+1,June,1+7*_4th_weekday_occurrence)-WEEKDAY(DATE(YEAR+1,June,8-Wednesday)))</f>
        <v>45833</v>
      </c>
      <c r="N495" s="41"/>
    </row>
    <row r="496" spans="2:14" x14ac:dyDescent="0.25">
      <c r="B496" s="4">
        <v>238</v>
      </c>
      <c r="C496" t="s">
        <v>146</v>
      </c>
      <c r="D496" s="8" t="s">
        <v>579</v>
      </c>
      <c r="F496" s="42" t="s">
        <v>147</v>
      </c>
      <c r="G496" s="26"/>
      <c r="H496" s="26"/>
      <c r="I496" s="26"/>
      <c r="J496" s="26"/>
      <c r="K496" s="26"/>
      <c r="L496" t="s">
        <v>708</v>
      </c>
      <c r="M496" s="44">
        <f>IF(O496&gt;0,O496,DATE(YEAR+1,June,1+7*_4th_weekday_occurrence)-WEEKDAY(DATE(YEAR+1,June,8-Wednesday)))</f>
        <v>45833</v>
      </c>
      <c r="N496" s="41"/>
    </row>
    <row r="497" spans="2:14" x14ac:dyDescent="0.25">
      <c r="B497" s="4">
        <v>1638</v>
      </c>
      <c r="C497" t="s">
        <v>75</v>
      </c>
      <c r="D497" s="8" t="s">
        <v>2</v>
      </c>
      <c r="F497" s="15" t="s">
        <v>147</v>
      </c>
      <c r="G497" s="26"/>
      <c r="H497" s="26"/>
      <c r="I497" s="26"/>
      <c r="J497" s="26"/>
      <c r="K497" s="26"/>
      <c r="L497" t="s">
        <v>672</v>
      </c>
      <c r="M497" s="44">
        <f>IF(O497&gt;0,O497,DATE(YEAR+1,June,1+7*_4th_weekday_occurrence)-WEEKDAY(DATE(YEAR+1,June,8-Wednesday)))</f>
        <v>45833</v>
      </c>
      <c r="N497" s="41"/>
    </row>
    <row r="498" spans="2:14" x14ac:dyDescent="0.25">
      <c r="B498" s="4">
        <v>1638</v>
      </c>
      <c r="C498" t="s">
        <v>75</v>
      </c>
      <c r="D498" s="8" t="s">
        <v>579</v>
      </c>
      <c r="E498" s="8" t="s">
        <v>225</v>
      </c>
      <c r="F498" s="15" t="s">
        <v>147</v>
      </c>
      <c r="G498" s="26"/>
      <c r="H498" s="26"/>
      <c r="I498" s="26"/>
      <c r="J498" s="26"/>
      <c r="K498" s="26"/>
      <c r="L498" t="s">
        <v>672</v>
      </c>
      <c r="M498" s="44">
        <f>IF(O498&gt;0,O498,DATE(YEAR+1,June,1+7*_4th_weekday_occurrence)-WEEKDAY(DATE(YEAR+1,June,8-Wednesday)))</f>
        <v>45833</v>
      </c>
      <c r="N498" s="41"/>
    </row>
    <row r="499" spans="2:14" x14ac:dyDescent="0.25">
      <c r="B499" s="4">
        <v>1895</v>
      </c>
      <c r="C499" t="s">
        <v>184</v>
      </c>
      <c r="D499" s="8" t="s">
        <v>579</v>
      </c>
      <c r="F499" s="15" t="s">
        <v>668</v>
      </c>
      <c r="G499" s="26"/>
      <c r="H499" s="26"/>
      <c r="I499" s="26"/>
      <c r="J499" s="26"/>
      <c r="K499" s="26"/>
      <c r="L499" s="26" t="s">
        <v>672</v>
      </c>
      <c r="M499" s="55">
        <f>IF(O499&gt;0,O499,DATE(YEAR+1,June,1+7*_4th_weekday_occurrence)-WEEKDAY(DATE(YEAR+1,June,8-Thursday)))</f>
        <v>45834</v>
      </c>
      <c r="N499" s="41"/>
    </row>
    <row r="500" spans="2:14" x14ac:dyDescent="0.25">
      <c r="B500" s="4">
        <v>1909</v>
      </c>
      <c r="C500" t="s">
        <v>102</v>
      </c>
      <c r="D500" s="8" t="s">
        <v>2</v>
      </c>
      <c r="F500" s="15" t="s">
        <v>513</v>
      </c>
      <c r="G500" s="26"/>
      <c r="H500" s="26"/>
      <c r="I500" s="26"/>
      <c r="J500" s="26"/>
      <c r="K500" s="26"/>
      <c r="L500" s="5" t="s">
        <v>710</v>
      </c>
      <c r="M500" s="5">
        <f>IF(O500&gt;0,O500,DATE(YEAR+1,June,1+7*_4th_weekday_occurrence)-WEEKDAY(DATE(YEAR+1,June,8-Saturday)))</f>
        <v>45836</v>
      </c>
      <c r="N500" s="41"/>
    </row>
    <row r="501" spans="2:14" x14ac:dyDescent="0.25">
      <c r="B501" s="4">
        <v>1909</v>
      </c>
      <c r="C501" t="s">
        <v>102</v>
      </c>
      <c r="D501" s="8" t="s">
        <v>579</v>
      </c>
      <c r="E501" s="8" t="s">
        <v>225</v>
      </c>
      <c r="F501" s="15" t="s">
        <v>513</v>
      </c>
      <c r="G501" s="26"/>
      <c r="H501" s="26"/>
      <c r="I501" s="26"/>
      <c r="J501" s="26"/>
      <c r="K501" s="26"/>
      <c r="L501" s="5" t="s">
        <v>710</v>
      </c>
      <c r="M501" s="55">
        <f>IF(O501&gt;0,O501,DATE(YEAR+1,June,1+7*_4th_weekday_occurrence)-WEEKDAY(DATE(YEAR+1,June,8-Saturday)))</f>
        <v>45836</v>
      </c>
      <c r="N501" s="41"/>
    </row>
    <row r="502" spans="2:14" x14ac:dyDescent="0.25">
      <c r="B502" s="4">
        <v>361</v>
      </c>
      <c r="C502" t="s">
        <v>208</v>
      </c>
      <c r="D502" s="8" t="s">
        <v>2</v>
      </c>
      <c r="F502" s="14" t="s">
        <v>456</v>
      </c>
      <c r="G502" s="26"/>
      <c r="H502" s="26"/>
      <c r="I502" s="26"/>
      <c r="J502" s="26"/>
      <c r="K502" s="26"/>
      <c r="L502" s="51" t="s">
        <v>673</v>
      </c>
      <c r="M502" s="44">
        <f>IF(O502&gt;0,O502,DATE(YEAR+1,July,1+7*_1st_weekday_occurrence)-WEEKDAY(DATE(YEAR+1,July,8-Tuesday)))</f>
        <v>45839</v>
      </c>
      <c r="N502" s="41"/>
    </row>
    <row r="503" spans="2:14" x14ac:dyDescent="0.25">
      <c r="B503" s="4">
        <v>361</v>
      </c>
      <c r="C503" t="s">
        <v>208</v>
      </c>
      <c r="D503" s="8" t="s">
        <v>579</v>
      </c>
      <c r="F503" s="14" t="s">
        <v>456</v>
      </c>
      <c r="G503" s="26"/>
      <c r="H503" s="26"/>
      <c r="I503" s="26"/>
      <c r="J503" s="26"/>
      <c r="K503" s="26"/>
      <c r="L503" s="51" t="s">
        <v>673</v>
      </c>
      <c r="M503" s="44">
        <f>IF(O503&gt;0,O503,DATE(YEAR+1,July,1+7*_1st_weekday_occurrence)-WEEKDAY(DATE(YEAR+1,July,8-Tuesday)))</f>
        <v>45839</v>
      </c>
      <c r="N503" s="41"/>
    </row>
    <row r="504" spans="2:14" x14ac:dyDescent="0.25">
      <c r="B504" s="4">
        <v>1105</v>
      </c>
      <c r="C504" t="s">
        <v>119</v>
      </c>
      <c r="D504" s="8" t="s">
        <v>579</v>
      </c>
      <c r="F504" s="42" t="s">
        <v>149</v>
      </c>
      <c r="G504" s="26"/>
      <c r="H504" s="26"/>
      <c r="I504" s="26"/>
      <c r="J504" s="26"/>
      <c r="K504" s="26"/>
      <c r="L504" s="42" t="s">
        <v>709</v>
      </c>
      <c r="M504" s="55">
        <f>IF(O504&gt;0,O504,DATE(YEAR+1,July,1+7*_1st_weekday_occurrence)-WEEKDAY(DATE(YEAR+1,July,8-Saturday)))</f>
        <v>45843</v>
      </c>
      <c r="N504" s="41"/>
    </row>
    <row r="505" spans="2:14" x14ac:dyDescent="0.25">
      <c r="B505" s="4">
        <v>1953</v>
      </c>
      <c r="C505" t="s">
        <v>148</v>
      </c>
      <c r="D505" s="8" t="s">
        <v>2</v>
      </c>
      <c r="E505" s="8" t="s">
        <v>225</v>
      </c>
      <c r="F505" s="42" t="s">
        <v>149</v>
      </c>
      <c r="G505" s="26"/>
      <c r="H505" s="26"/>
      <c r="I505" s="26"/>
      <c r="J505" s="26"/>
      <c r="K505" s="26"/>
      <c r="L505" s="5" t="s">
        <v>693</v>
      </c>
      <c r="M505" s="5">
        <f>IF(O505&gt;0,O505,DATE(YEAR+1,July,1+7*_1st_weekday_occurrence)-WEEKDAY(DATE(YEAR+1,July,8-Saturday)))</f>
        <v>45843</v>
      </c>
      <c r="N505" s="41"/>
    </row>
    <row r="506" spans="2:14" x14ac:dyDescent="0.25">
      <c r="B506" s="4">
        <v>830</v>
      </c>
      <c r="C506" t="s">
        <v>150</v>
      </c>
      <c r="D506" s="8" t="s">
        <v>2</v>
      </c>
      <c r="E506" s="8" t="s">
        <v>225</v>
      </c>
      <c r="F506" s="42" t="s">
        <v>151</v>
      </c>
      <c r="G506" s="26"/>
      <c r="H506" s="26"/>
      <c r="I506" s="26"/>
      <c r="J506" s="26"/>
      <c r="K506" s="26"/>
      <c r="L506" s="51" t="s">
        <v>673</v>
      </c>
      <c r="M506" s="5">
        <f>IF(O506&gt;0,O506,DATE(YEAR+1,July,1+7*_1st_weekday_occurrence)-WEEKDAY(DATE(YEAR+1,July,8-Monday)))</f>
        <v>45845</v>
      </c>
      <c r="N506" s="41"/>
    </row>
    <row r="507" spans="2:14" x14ac:dyDescent="0.25">
      <c r="B507" s="4">
        <v>1313</v>
      </c>
      <c r="C507" t="s">
        <v>152</v>
      </c>
      <c r="D507" s="8" t="s">
        <v>2</v>
      </c>
      <c r="E507" s="8" t="s">
        <v>225</v>
      </c>
      <c r="F507" s="42" t="s">
        <v>151</v>
      </c>
      <c r="G507" s="26"/>
      <c r="H507" s="26"/>
      <c r="I507" s="26"/>
      <c r="J507" s="26"/>
      <c r="K507" s="26"/>
      <c r="L507" s="26" t="s">
        <v>672</v>
      </c>
      <c r="M507" s="5">
        <f>IF(O507&gt;0,O507,DATE(YEAR+1,July,1+7*_1st_weekday_occurrence)-WEEKDAY(DATE(YEAR+1,July,8-Monday)))</f>
        <v>45845</v>
      </c>
      <c r="N507" s="41"/>
    </row>
    <row r="508" spans="2:14" x14ac:dyDescent="0.25">
      <c r="B508" s="4">
        <v>1313</v>
      </c>
      <c r="C508" t="s">
        <v>152</v>
      </c>
      <c r="D508" s="8" t="s">
        <v>579</v>
      </c>
      <c r="F508" s="42" t="s">
        <v>151</v>
      </c>
      <c r="G508" s="26"/>
      <c r="H508" s="26"/>
      <c r="I508" s="26"/>
      <c r="J508" s="26"/>
      <c r="K508" s="26"/>
      <c r="L508" s="26" t="s">
        <v>672</v>
      </c>
      <c r="M508" s="55">
        <f>IF(O508&gt;0,O508,DATE(YEAR+1,July,1+7*_1st_weekday_occurrence)-WEEKDAY(DATE(YEAR+1,July,8-Monday)))</f>
        <v>45845</v>
      </c>
      <c r="N508" s="41"/>
    </row>
    <row r="509" spans="2:14" x14ac:dyDescent="0.25">
      <c r="B509" s="4">
        <v>748</v>
      </c>
      <c r="C509" t="s">
        <v>153</v>
      </c>
      <c r="D509" s="8" t="s">
        <v>2</v>
      </c>
      <c r="E509" s="8" t="s">
        <v>225</v>
      </c>
      <c r="F509" s="42" t="s">
        <v>154</v>
      </c>
      <c r="G509" s="26"/>
      <c r="H509" s="26"/>
      <c r="I509" s="26"/>
      <c r="J509" s="26"/>
      <c r="K509" s="26"/>
      <c r="L509" s="42" t="s">
        <v>673</v>
      </c>
      <c r="M509" s="5">
        <f>IF(O509&gt;0,O509,DATE(YEAR+1,July,1+7*_2nd_weekday_occurrence)-WEEKDAY(DATE(YEAR+1,July,8-Wednesday)))</f>
        <v>45847</v>
      </c>
      <c r="N509" s="41"/>
    </row>
    <row r="510" spans="2:14" x14ac:dyDescent="0.25">
      <c r="B510" s="4">
        <v>748</v>
      </c>
      <c r="C510" t="s">
        <v>153</v>
      </c>
      <c r="D510" s="8" t="s">
        <v>579</v>
      </c>
      <c r="F510" s="42" t="s">
        <v>154</v>
      </c>
      <c r="G510" s="26"/>
      <c r="H510" s="26"/>
      <c r="I510" s="26"/>
      <c r="J510" s="26"/>
      <c r="K510" s="26"/>
      <c r="L510" s="42" t="s">
        <v>673</v>
      </c>
      <c r="M510" s="55">
        <f>IF(O510&gt;0,O510,DATE(YEAR+1,July,1+7*_2nd_weekday_occurrence)-WEEKDAY(DATE(YEAR+1,July,8-Wednesday)))</f>
        <v>45847</v>
      </c>
      <c r="N510" s="41"/>
    </row>
    <row r="511" spans="2:14" x14ac:dyDescent="0.25">
      <c r="B511" s="4">
        <v>833</v>
      </c>
      <c r="C511" t="s">
        <v>82</v>
      </c>
      <c r="D511" s="8" t="s">
        <v>2</v>
      </c>
      <c r="F511" s="15" t="s">
        <v>154</v>
      </c>
      <c r="G511" s="26"/>
      <c r="H511" s="26"/>
      <c r="I511" s="26"/>
      <c r="J511" s="26"/>
      <c r="K511" s="26"/>
      <c r="L511" s="51" t="s">
        <v>673</v>
      </c>
      <c r="M511" s="5">
        <f>IF(O511&gt;0,O511,DATE(YEAR+1,July,1+7*_2nd_weekday_occurrence)-WEEKDAY(DATE(YEAR+1,July,8-Wednesday)))</f>
        <v>45847</v>
      </c>
      <c r="N511" s="41"/>
    </row>
    <row r="512" spans="2:14" x14ac:dyDescent="0.25">
      <c r="B512" s="4" t="s">
        <v>525</v>
      </c>
      <c r="C512" s="45" t="s">
        <v>528</v>
      </c>
      <c r="D512" s="8" t="s">
        <v>2</v>
      </c>
      <c r="F512" s="15" t="s">
        <v>526</v>
      </c>
      <c r="L512" s="51" t="s">
        <v>672</v>
      </c>
      <c r="M512" s="46">
        <f>IF(O512&gt;0,O512,DATE(YEAR+1,July,1+7*_2nd_weekday_occurrence)-WEEKDAY(DATE(YEAR+1,July,8-Thursday)))</f>
        <v>45848</v>
      </c>
    </row>
    <row r="513" spans="2:14" x14ac:dyDescent="0.25">
      <c r="B513" s="4">
        <v>399</v>
      </c>
      <c r="C513" t="s">
        <v>18</v>
      </c>
      <c r="D513" s="8" t="s">
        <v>579</v>
      </c>
      <c r="F513" s="15" t="s">
        <v>583</v>
      </c>
      <c r="G513" s="26"/>
      <c r="H513" s="26"/>
      <c r="I513" s="26"/>
      <c r="J513" s="26"/>
      <c r="K513" s="26"/>
      <c r="L513" s="26" t="s">
        <v>672</v>
      </c>
      <c r="M513" s="55">
        <f>IF(O513&gt;0,O513,DATE(YEAR+1,July,1+7*_3rd_weekday_occurrence)-WEEKDAY(DATE(YEAR+1,July,8-Thursday)))</f>
        <v>45855</v>
      </c>
      <c r="N513" s="41"/>
    </row>
    <row r="514" spans="2:14" x14ac:dyDescent="0.25">
      <c r="B514" s="4">
        <v>0</v>
      </c>
      <c r="C514" t="s">
        <v>222</v>
      </c>
      <c r="D514" s="8" t="s">
        <v>2</v>
      </c>
      <c r="E514" t="s">
        <v>225</v>
      </c>
      <c r="F514" s="40" t="s">
        <v>223</v>
      </c>
      <c r="G514" s="42"/>
      <c r="H514" s="42"/>
      <c r="I514" s="42"/>
      <c r="J514" s="42"/>
      <c r="K514" s="42"/>
      <c r="L514" t="s">
        <v>672</v>
      </c>
      <c r="M514" s="5" t="str">
        <f>IF(O514="","Manual Input",O514)</f>
        <v>Manual Input</v>
      </c>
      <c r="N514" s="41"/>
    </row>
    <row r="515" spans="2:14" x14ac:dyDescent="0.25">
      <c r="B515" s="4"/>
      <c r="F515" s="15"/>
      <c r="L515" s="54"/>
      <c r="M515" s="56"/>
    </row>
    <row r="516" spans="2:14" x14ac:dyDescent="0.25">
      <c r="B516" s="4"/>
      <c r="F516" s="15"/>
      <c r="L516" s="54"/>
      <c r="M516" s="56"/>
    </row>
  </sheetData>
  <autoFilter ref="A1:M510" xr:uid="{B9CDEE8B-492F-4A01-8B61-6CB1B669D005}"/>
  <sortState xmlns:xlrd2="http://schemas.microsoft.com/office/spreadsheetml/2017/richdata2" ref="A2:R516">
    <sortCondition ref="M2:M516"/>
    <sortCondition ref="B2:B516"/>
  </sortState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C08475E0-644A-4201-8632-4A989376D04B}">
            <xm:f>'Change Year'!$A$5-1</xm:f>
            <x14:dxf>
              <fill>
                <patternFill>
                  <bgColor rgb="FFFF0000"/>
                </patternFill>
              </fill>
            </x14:dxf>
          </x14:cfRule>
          <x14:cfRule type="cellIs" priority="10" operator="equal" id="{567A4A01-C00E-495D-9530-664A0894320F}">
            <xm:f>'Change Year'!$A$5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6D2B142-C2B8-4D0D-BEAD-A9E1D2B24102}">
            <xm:f>'Change Year'!$A$5+1</xm:f>
            <x14:dxf>
              <fill>
                <patternFill>
                  <bgColor rgb="FFFF0000"/>
                </patternFill>
              </fill>
            </x14:dxf>
          </x14:cfRule>
          <xm:sqref>M515:M550</xm:sqref>
        </x14:conditionalFormatting>
        <x14:conditionalFormatting xmlns:xm="http://schemas.microsoft.com/office/excel/2006/main">
          <x14:cfRule type="cellIs" priority="4" operator="equal" id="{663A76DC-2D6E-49F6-A51B-7D0D49CA02B9}">
            <xm:f>'Change Year'!$A$5</xm:f>
            <x14:dxf>
              <fill>
                <patternFill>
                  <bgColor rgb="FFFF0000"/>
                </patternFill>
              </fill>
            </x14:dxf>
          </x14:cfRule>
          <x14:cfRule type="cellIs" priority="5" operator="equal" id="{9E611583-2644-44F3-9F11-E00EC7281416}">
            <xm:f>'Change Year'!$A$5-1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5CFBDC11-C84F-4259-8DC2-6B82B5A7082C}">
            <xm:f>'Change Year'!$A$5+1</xm:f>
            <x14:dxf>
              <fill>
                <patternFill>
                  <bgColor rgb="FFFF0000"/>
                </patternFill>
              </fill>
            </x14:dxf>
          </x14:cfRule>
          <xm:sqref>M2:M284</xm:sqref>
        </x14:conditionalFormatting>
        <x14:conditionalFormatting xmlns:xm="http://schemas.microsoft.com/office/excel/2006/main">
          <x14:cfRule type="cellIs" priority="1" operator="equal" id="{8C384328-FBE2-444A-8651-0872B37CD5F1}">
            <xm:f>'Change Year'!$A$5-1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ADFD4C6E-AA32-42D3-894A-7B339632E047}">
            <xm:f>'Change Year'!$A$5+1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7A3B3AA-F41E-4777-806A-E79EF48902B8}">
            <xm:f>'Change Year'!$A$5</xm:f>
            <x14:dxf>
              <fill>
                <patternFill>
                  <bgColor rgb="FFFF0000"/>
                </patternFill>
              </fill>
            </x14:dxf>
          </x14:cfRule>
          <xm:sqref>M285:M514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C41F-F8C1-F743-9CC7-E8990FCDD1B0}">
  <dimension ref="A1:P306"/>
  <sheetViews>
    <sheetView workbookViewId="0">
      <pane ySplit="1" topLeftCell="A256" activePane="bottomLeft" state="frozen"/>
      <selection pane="bottomLeft" activeCell="A2" sqref="A2:Q284"/>
    </sheetView>
  </sheetViews>
  <sheetFormatPr defaultRowHeight="15.75" x14ac:dyDescent="0.25"/>
  <cols>
    <col min="2" max="2" width="8.625" bestFit="1" customWidth="1"/>
    <col min="3" max="3" width="29.375" customWidth="1"/>
    <col min="4" max="4" width="9.375" style="8" bestFit="1" customWidth="1"/>
    <col min="5" max="5" width="9.625" style="8" bestFit="1" customWidth="1"/>
    <col min="6" max="6" width="17" customWidth="1"/>
    <col min="7" max="7" width="0.75" customWidth="1"/>
    <col min="8" max="8" width="0.625" customWidth="1"/>
    <col min="9" max="9" width="0.375" customWidth="1"/>
    <col min="10" max="11" width="0.625" customWidth="1"/>
    <col min="12" max="12" width="10.375" customWidth="1"/>
    <col min="13" max="13" width="11.25" customWidth="1"/>
    <col min="14" max="14" width="2" style="11" customWidth="1"/>
    <col min="15" max="15" width="23.375" style="5" customWidth="1"/>
    <col min="16" max="16" width="2.25" style="2" customWidth="1"/>
  </cols>
  <sheetData>
    <row r="1" spans="1:15" ht="15" customHeight="1" x14ac:dyDescent="0.25">
      <c r="A1" s="38" t="s">
        <v>226</v>
      </c>
      <c r="B1" s="1" t="s">
        <v>0</v>
      </c>
      <c r="C1" s="39" t="s">
        <v>1</v>
      </c>
      <c r="D1" s="12" t="s">
        <v>527</v>
      </c>
      <c r="E1" s="12" t="s">
        <v>224</v>
      </c>
      <c r="F1" s="39" t="s">
        <v>432</v>
      </c>
      <c r="G1" s="39"/>
      <c r="H1" s="39"/>
      <c r="I1" s="39"/>
      <c r="J1" s="39"/>
      <c r="K1" s="39"/>
      <c r="L1" s="12" t="s">
        <v>670</v>
      </c>
      <c r="M1" s="39" t="s">
        <v>431</v>
      </c>
      <c r="N1" s="2"/>
      <c r="O1" s="3" t="s">
        <v>3</v>
      </c>
    </row>
    <row r="2" spans="1:15" ht="15" customHeight="1" x14ac:dyDescent="0.25">
      <c r="B2" s="4">
        <v>1534</v>
      </c>
      <c r="C2" t="s">
        <v>159</v>
      </c>
      <c r="D2" s="8" t="s">
        <v>2</v>
      </c>
      <c r="E2" s="8" t="s">
        <v>225</v>
      </c>
      <c r="F2" s="42" t="s">
        <v>160</v>
      </c>
      <c r="G2" s="26"/>
      <c r="H2" s="26"/>
      <c r="I2" s="26"/>
      <c r="J2" s="26"/>
      <c r="K2" s="26"/>
      <c r="L2" s="51" t="s">
        <v>693</v>
      </c>
      <c r="M2" s="5">
        <f>IF(O2&gt;0,O2,DATE(YEAR,September,1+7*_1st_weekday_occurrence)-WEEKDAY(DATE(YEAR,September,8-Monday)))</f>
        <v>45537</v>
      </c>
      <c r="N2" s="41"/>
    </row>
    <row r="3" spans="1:15" ht="15" customHeight="1" x14ac:dyDescent="0.25">
      <c r="B3" s="4">
        <v>643</v>
      </c>
      <c r="C3" t="s">
        <v>115</v>
      </c>
      <c r="D3" s="8" t="s">
        <v>2</v>
      </c>
      <c r="F3" s="15" t="s">
        <v>470</v>
      </c>
      <c r="G3" s="26"/>
      <c r="H3" s="26"/>
      <c r="I3" s="26"/>
      <c r="J3" s="26"/>
      <c r="K3" s="26"/>
      <c r="L3" s="26" t="s">
        <v>672</v>
      </c>
      <c r="M3" s="5">
        <f>IF(O3&gt;0,O3,DATE(YEAR,September,1+7*_1st_weekday_occurrence)-WEEKDAY(DATE(YEAR,September,8-Wednesday)))</f>
        <v>45539</v>
      </c>
      <c r="N3" s="41"/>
    </row>
    <row r="4" spans="1:15" ht="15" customHeight="1" x14ac:dyDescent="0.25">
      <c r="B4" s="4">
        <v>835</v>
      </c>
      <c r="C4" t="s">
        <v>106</v>
      </c>
      <c r="D4" s="8" t="s">
        <v>2</v>
      </c>
      <c r="F4" s="15" t="s">
        <v>470</v>
      </c>
      <c r="G4" s="26"/>
      <c r="H4" s="26"/>
      <c r="I4" s="26"/>
      <c r="J4" s="26"/>
      <c r="K4" s="26"/>
      <c r="L4" s="26" t="s">
        <v>672</v>
      </c>
      <c r="M4" s="5">
        <f>IF(O4&gt;0,O4,DATE(YEAR,September,1+7*_1st_weekday_occurrence)-WEEKDAY(DATE(YEAR,September,8-Wednesday)))</f>
        <v>45539</v>
      </c>
      <c r="N4" s="41"/>
    </row>
    <row r="5" spans="1:15" ht="15" customHeight="1" x14ac:dyDescent="0.25">
      <c r="B5" s="4">
        <v>1152</v>
      </c>
      <c r="C5" t="s">
        <v>155</v>
      </c>
      <c r="D5" s="8" t="s">
        <v>2</v>
      </c>
      <c r="E5" s="8" t="s">
        <v>225</v>
      </c>
      <c r="F5" s="42" t="s">
        <v>156</v>
      </c>
      <c r="G5" s="26"/>
      <c r="H5" s="26"/>
      <c r="I5" s="26"/>
      <c r="J5" s="26"/>
      <c r="K5" s="26"/>
      <c r="L5" s="5" t="s">
        <v>672</v>
      </c>
      <c r="M5" s="5">
        <f>IF(O5&gt;0,O5,DATE(YEAR,September,1+7*_1st_weekday_occurrence)-WEEKDAY(DATE(YEAR,September,8-Wednesday)))</f>
        <v>45539</v>
      </c>
      <c r="N5" s="41"/>
    </row>
    <row r="6" spans="1:15" ht="15" customHeight="1" x14ac:dyDescent="0.25">
      <c r="B6" s="4">
        <v>1105</v>
      </c>
      <c r="C6" t="s">
        <v>119</v>
      </c>
      <c r="D6" s="8" t="s">
        <v>2</v>
      </c>
      <c r="F6" s="14" t="s">
        <v>489</v>
      </c>
      <c r="G6" s="26"/>
      <c r="H6" s="26"/>
      <c r="I6" s="26"/>
      <c r="J6" s="26"/>
      <c r="K6" s="26"/>
      <c r="L6" s="42" t="s">
        <v>709</v>
      </c>
      <c r="M6" s="5">
        <f>IF(O6&gt;0,O6,DATE(YEAR,September,1+7*_1st_weekday_occurrence)-WEEKDAY(DATE(YEAR,September,8-Thursday)))</f>
        <v>45540</v>
      </c>
      <c r="N6" s="41"/>
    </row>
    <row r="7" spans="1:15" ht="15" customHeight="1" x14ac:dyDescent="0.25">
      <c r="B7" s="4">
        <v>1313</v>
      </c>
      <c r="C7" t="s">
        <v>152</v>
      </c>
      <c r="D7" s="8" t="s">
        <v>2</v>
      </c>
      <c r="F7" s="14" t="s">
        <v>489</v>
      </c>
      <c r="G7" s="26"/>
      <c r="H7" s="26"/>
      <c r="I7" s="26"/>
      <c r="J7" s="26"/>
      <c r="K7" s="26"/>
      <c r="L7" s="26" t="s">
        <v>672</v>
      </c>
      <c r="M7" s="5">
        <f>IF(O7&gt;0,O7,DATE(YEAR,September,1+7*_1st_weekday_occurrence)-WEEKDAY(DATE(YEAR,September,8-Thursday)))</f>
        <v>45540</v>
      </c>
      <c r="N7" s="41"/>
    </row>
    <row r="8" spans="1:15" ht="15" customHeight="1" x14ac:dyDescent="0.25">
      <c r="B8" s="4">
        <v>815</v>
      </c>
      <c r="C8" t="s">
        <v>80</v>
      </c>
      <c r="D8" s="8" t="s">
        <v>2</v>
      </c>
      <c r="F8" s="15" t="s">
        <v>478</v>
      </c>
      <c r="G8" s="26"/>
      <c r="H8" s="26"/>
      <c r="I8" s="26"/>
      <c r="J8" s="26"/>
      <c r="K8" s="26"/>
      <c r="L8" s="26" t="s">
        <v>673</v>
      </c>
      <c r="M8" s="5">
        <f>IF(O8&gt;0,O8,DATE(YEAR,September,1+7*_2nd_weekday_occurrence)-WEEKDAY(DATE(YEAR,September,8-Monday)))</f>
        <v>45544</v>
      </c>
      <c r="N8" s="41"/>
    </row>
    <row r="9" spans="1:15" ht="15" customHeight="1" x14ac:dyDescent="0.25">
      <c r="B9" s="4">
        <v>1227</v>
      </c>
      <c r="C9" t="s">
        <v>157</v>
      </c>
      <c r="D9" s="8" t="s">
        <v>2</v>
      </c>
      <c r="E9" s="8" t="s">
        <v>225</v>
      </c>
      <c r="F9" t="s">
        <v>158</v>
      </c>
      <c r="L9" s="26" t="s">
        <v>672</v>
      </c>
      <c r="M9" s="5">
        <f>IF(O9&gt;0,O9,DATE(YEAR,September,1-2+7*_2nd_weekday_occurrence)-WEEKDAY(DATE(YEAR,September,8-Wednesday)))</f>
        <v>45544</v>
      </c>
      <c r="N9" s="41"/>
    </row>
    <row r="10" spans="1:15" ht="15" customHeight="1" x14ac:dyDescent="0.25">
      <c r="B10" s="4">
        <v>1336</v>
      </c>
      <c r="C10" t="s">
        <v>703</v>
      </c>
      <c r="D10" s="8" t="s">
        <v>2</v>
      </c>
      <c r="F10" s="15" t="s">
        <v>158</v>
      </c>
      <c r="L10" t="s">
        <v>708</v>
      </c>
      <c r="M10" s="55">
        <f>IF(O10&gt;0,O10,DATE(YEAR,September,1-2+7*_2nd_weekday_occurrence)-WEEKDAY(DATE(YEAR,September,8-Wednesday)))</f>
        <v>45544</v>
      </c>
    </row>
    <row r="11" spans="1:15" ht="15" customHeight="1" x14ac:dyDescent="0.25">
      <c r="B11" s="4">
        <v>238</v>
      </c>
      <c r="C11" t="s">
        <v>146</v>
      </c>
      <c r="D11" s="8" t="s">
        <v>2</v>
      </c>
      <c r="F11" s="15" t="s">
        <v>451</v>
      </c>
      <c r="G11" s="26"/>
      <c r="H11" s="26"/>
      <c r="I11" s="26"/>
      <c r="J11" s="26"/>
      <c r="K11" s="26"/>
      <c r="L11" t="s">
        <v>708</v>
      </c>
      <c r="M11" s="44">
        <f>IF(O11&gt;0,O11,DATE(YEAR,September,1+7*_2nd_weekday_occurrence)-WEEKDAY(DATE(YEAR,September,8-Thursday)))</f>
        <v>45547</v>
      </c>
      <c r="N11" s="41"/>
    </row>
    <row r="12" spans="1:15" ht="15" customHeight="1" x14ac:dyDescent="0.25">
      <c r="B12" s="4">
        <v>1457</v>
      </c>
      <c r="C12" t="s">
        <v>161</v>
      </c>
      <c r="D12" s="8" t="s">
        <v>2</v>
      </c>
      <c r="E12" s="8" t="s">
        <v>225</v>
      </c>
      <c r="F12" s="42" t="s">
        <v>162</v>
      </c>
      <c r="G12" s="26"/>
      <c r="H12" s="26"/>
      <c r="I12" s="26"/>
      <c r="J12" s="26"/>
      <c r="K12" s="26"/>
      <c r="L12" t="s">
        <v>693</v>
      </c>
      <c r="M12" s="5">
        <f>IF(O12&gt;0,O12,DATE(YEAR,September,1+7*_2nd_weekday_occurrence)-WEEKDAY(DATE(YEAR,September,8-Friday)))</f>
        <v>45548</v>
      </c>
      <c r="N12" s="41"/>
    </row>
    <row r="13" spans="1:15" ht="15" customHeight="1" x14ac:dyDescent="0.25">
      <c r="B13" s="4">
        <v>2042</v>
      </c>
      <c r="C13" t="s">
        <v>699</v>
      </c>
      <c r="D13" s="8" t="s">
        <v>2</v>
      </c>
      <c r="E13" s="8" t="s">
        <v>225</v>
      </c>
      <c r="F13" s="15" t="s">
        <v>162</v>
      </c>
      <c r="L13" s="51" t="s">
        <v>708</v>
      </c>
      <c r="M13" s="5">
        <f>IF(O13&gt;0,O13,DATE(YEAR,September,1+7*_2nd_weekday_occurrence)-WEEKDAY(DATE(YEAR,September,8-Friday)))</f>
        <v>45548</v>
      </c>
    </row>
    <row r="14" spans="1:15" ht="15" customHeight="1" x14ac:dyDescent="0.25">
      <c r="B14" s="4">
        <v>2022</v>
      </c>
      <c r="C14" t="s">
        <v>163</v>
      </c>
      <c r="D14" s="8" t="s">
        <v>2</v>
      </c>
      <c r="E14" s="8" t="s">
        <v>225</v>
      </c>
      <c r="F14" s="42" t="s">
        <v>164</v>
      </c>
      <c r="G14" s="26"/>
      <c r="H14" s="26"/>
      <c r="I14" s="26"/>
      <c r="J14" s="26"/>
      <c r="K14" s="26"/>
      <c r="L14" s="5" t="s">
        <v>710</v>
      </c>
      <c r="M14" s="5">
        <f>IF(O14&gt;0,O14,DATE(YEAR,September,1+7*_2nd_weekday_occurrence)-WEEKDAY(DATE(YEAR,September,8-Saturday)))</f>
        <v>45549</v>
      </c>
    </row>
    <row r="15" spans="1:15" ht="15" customHeight="1" x14ac:dyDescent="0.25">
      <c r="B15" s="4">
        <v>786</v>
      </c>
      <c r="C15" t="s">
        <v>142</v>
      </c>
      <c r="D15" s="8" t="s">
        <v>2</v>
      </c>
      <c r="F15" s="14" t="s">
        <v>168</v>
      </c>
      <c r="G15" s="26"/>
      <c r="H15" s="26"/>
      <c r="I15" s="26"/>
      <c r="J15" s="26"/>
      <c r="K15" s="26"/>
      <c r="L15" t="s">
        <v>693</v>
      </c>
      <c r="M15" s="5">
        <f>IF(O15&gt;0,O15,DATE(YEAR,September,1+7*_3rd_weekday_occurrence)-WEEKDAY(DATE(YEAR,September,8-Monday)))</f>
        <v>45551</v>
      </c>
      <c r="N15" s="41"/>
    </row>
    <row r="16" spans="1:15" ht="15" customHeight="1" x14ac:dyDescent="0.25">
      <c r="B16" s="4">
        <v>897</v>
      </c>
      <c r="C16" t="s">
        <v>167</v>
      </c>
      <c r="D16" s="8" t="s">
        <v>2</v>
      </c>
      <c r="E16" s="8" t="s">
        <v>225</v>
      </c>
      <c r="F16" s="42" t="s">
        <v>168</v>
      </c>
      <c r="G16" s="26"/>
      <c r="H16" s="26"/>
      <c r="I16" s="26"/>
      <c r="J16" s="26"/>
      <c r="K16" s="26"/>
      <c r="L16" s="5" t="s">
        <v>710</v>
      </c>
      <c r="M16" s="5">
        <f>IF(O16&gt;0,O16,DATE(YEAR,September,1+7*_3rd_weekday_occurrence)-WEEKDAY(DATE(YEAR,September,8-Monday)))</f>
        <v>45551</v>
      </c>
      <c r="N16" s="41"/>
    </row>
    <row r="17" spans="2:14" ht="15" customHeight="1" x14ac:dyDescent="0.25">
      <c r="B17" s="4">
        <v>936</v>
      </c>
      <c r="C17" t="s">
        <v>165</v>
      </c>
      <c r="D17" s="8" t="s">
        <v>2</v>
      </c>
      <c r="E17" s="8" t="s">
        <v>225</v>
      </c>
      <c r="F17" s="42" t="s">
        <v>166</v>
      </c>
      <c r="G17" s="26"/>
      <c r="H17" s="26"/>
      <c r="I17" s="26"/>
      <c r="J17" s="26"/>
      <c r="K17" s="26"/>
      <c r="L17" t="s">
        <v>693</v>
      </c>
      <c r="M17" s="5">
        <f>IF(O17&gt;0,O17,DATE(YEAR,September,1+7*_3rd_weekday_occurrence)-WEEKDAY(DATE(YEAR,September,8-Wednesday)))</f>
        <v>45553</v>
      </c>
      <c r="N17" s="41"/>
    </row>
    <row r="18" spans="2:14" ht="15" customHeight="1" x14ac:dyDescent="0.25">
      <c r="B18" s="4">
        <v>1989</v>
      </c>
      <c r="C18" t="s">
        <v>113</v>
      </c>
      <c r="D18" s="8" t="s">
        <v>2</v>
      </c>
      <c r="F18" s="15" t="s">
        <v>516</v>
      </c>
      <c r="G18" s="26"/>
      <c r="H18" s="26"/>
      <c r="I18" s="26"/>
      <c r="J18" s="26"/>
      <c r="K18" s="26"/>
      <c r="L18" t="s">
        <v>693</v>
      </c>
      <c r="M18" s="5">
        <f>IF(O18&gt;0,O18,DATE(YEAR,September,1+7*_3rd_weekday_occurrence)-WEEKDAY(DATE(YEAR,September,8-Saturday)))</f>
        <v>45556</v>
      </c>
      <c r="N18" s="41"/>
    </row>
    <row r="19" spans="2:14" ht="15" customHeight="1" x14ac:dyDescent="0.25">
      <c r="B19" s="4">
        <v>921</v>
      </c>
      <c r="C19" t="s">
        <v>95</v>
      </c>
      <c r="D19" s="8" t="s">
        <v>2</v>
      </c>
      <c r="F19" s="15" t="s">
        <v>482</v>
      </c>
      <c r="G19" s="26"/>
      <c r="H19" s="26"/>
      <c r="I19" s="26"/>
      <c r="J19" s="26"/>
      <c r="K19" s="26"/>
      <c r="L19" t="s">
        <v>693</v>
      </c>
      <c r="M19" s="5">
        <f>IF(O19&gt;0,O19,DATE(YEAR,September,1+7*_4th_weekday_occurrence)-WEEKDAY(DATE(YEAR,September,8-Monday)))</f>
        <v>45558</v>
      </c>
      <c r="N19" s="41"/>
    </row>
    <row r="20" spans="2:14" ht="15" customHeight="1" x14ac:dyDescent="0.25">
      <c r="B20" s="4">
        <v>976</v>
      </c>
      <c r="C20" t="s">
        <v>76</v>
      </c>
      <c r="D20" s="8" t="s">
        <v>2</v>
      </c>
      <c r="F20" s="14" t="s">
        <v>483</v>
      </c>
      <c r="G20" s="26"/>
      <c r="H20" s="26"/>
      <c r="I20" s="26"/>
      <c r="J20" s="26"/>
      <c r="K20" s="26"/>
      <c r="L20" s="5" t="s">
        <v>693</v>
      </c>
      <c r="M20" s="5">
        <f>IF(O20&gt;0,O20,DATE(YEAR,September,1+7*_4th_weekday_occurrence)-WEEKDAY(DATE(YEAR,September,8-Tuesday)))</f>
        <v>45559</v>
      </c>
      <c r="N20" s="41"/>
    </row>
    <row r="21" spans="2:14" ht="15" customHeight="1" x14ac:dyDescent="0.25">
      <c r="B21" s="4">
        <v>802</v>
      </c>
      <c r="C21" t="s">
        <v>169</v>
      </c>
      <c r="D21" s="8" t="s">
        <v>2</v>
      </c>
      <c r="E21" s="8" t="s">
        <v>225</v>
      </c>
      <c r="F21" s="42" t="s">
        <v>170</v>
      </c>
      <c r="G21" s="26"/>
      <c r="H21" s="26"/>
      <c r="I21" s="26"/>
      <c r="J21" s="26"/>
      <c r="K21" s="26"/>
      <c r="L21" s="42" t="s">
        <v>709</v>
      </c>
      <c r="M21" s="5">
        <f>IF(O21&gt;0,O21,DATE(YEAR,September,1+7*_4th_weekday_occurrence)-WEEKDAY(DATE(YEAR,September,8-Thursday)))</f>
        <v>45561</v>
      </c>
      <c r="N21" s="41"/>
    </row>
    <row r="22" spans="2:14" ht="15" customHeight="1" x14ac:dyDescent="0.25">
      <c r="B22" s="4">
        <v>0</v>
      </c>
      <c r="C22" t="s">
        <v>222</v>
      </c>
      <c r="D22" s="8" t="s">
        <v>2</v>
      </c>
      <c r="E22"/>
      <c r="F22" s="40" t="s">
        <v>524</v>
      </c>
      <c r="L22" t="s">
        <v>672</v>
      </c>
      <c r="M22" s="5">
        <f>IF(O22&gt;0,O22,DATE(YEAR,October,1+7*_1st_weekday_occurrence)-WEEKDAY(DATE(YEAR,October,8-Tuesday)))</f>
        <v>45566</v>
      </c>
      <c r="N22" s="41"/>
    </row>
    <row r="23" spans="2:14" ht="15" customHeight="1" x14ac:dyDescent="0.25">
      <c r="B23" s="4">
        <v>487</v>
      </c>
      <c r="C23" t="s">
        <v>46</v>
      </c>
      <c r="D23" s="8" t="s">
        <v>2</v>
      </c>
      <c r="F23" s="15" t="s">
        <v>464</v>
      </c>
      <c r="G23" s="26"/>
      <c r="H23" s="26"/>
      <c r="I23" s="26"/>
      <c r="J23" s="26"/>
      <c r="K23" s="26"/>
      <c r="L23" t="s">
        <v>710</v>
      </c>
      <c r="M23" s="5">
        <f>IF(O23&gt;0,O23,DATE(YEAR,October,1+7*_1st_weekday_occurrence)-WEEKDAY(DATE(YEAR,October,8-Tuesday)))</f>
        <v>45566</v>
      </c>
      <c r="N23" s="41"/>
    </row>
    <row r="24" spans="2:14" ht="15" customHeight="1" x14ac:dyDescent="0.25">
      <c r="B24" s="4">
        <v>1071</v>
      </c>
      <c r="C24" t="s">
        <v>141</v>
      </c>
      <c r="D24" s="8" t="s">
        <v>2</v>
      </c>
      <c r="F24" s="15" t="s">
        <v>486</v>
      </c>
      <c r="G24" s="26"/>
      <c r="H24" s="26"/>
      <c r="I24" s="26"/>
      <c r="J24" s="26"/>
      <c r="K24" s="26"/>
      <c r="L24" t="s">
        <v>710</v>
      </c>
      <c r="M24" s="5">
        <f>IF(O24&gt;0,O24,DATE(YEAR,October,1+7*_1st_weekday_occurrence)-WEEKDAY(DATE(YEAR,October,8-Wednesday)))</f>
        <v>45567</v>
      </c>
      <c r="N24" s="41"/>
    </row>
    <row r="25" spans="2:14" ht="15" customHeight="1" x14ac:dyDescent="0.25">
      <c r="B25" s="4">
        <v>1767</v>
      </c>
      <c r="C25" t="s">
        <v>171</v>
      </c>
      <c r="D25" s="8" t="s">
        <v>2</v>
      </c>
      <c r="E25" s="8" t="s">
        <v>225</v>
      </c>
      <c r="F25" s="42" t="s">
        <v>172</v>
      </c>
      <c r="G25" s="26"/>
      <c r="H25" s="26"/>
      <c r="I25" s="26"/>
      <c r="J25" s="26"/>
      <c r="K25" s="26"/>
      <c r="L25" s="42" t="s">
        <v>709</v>
      </c>
      <c r="M25" s="5">
        <f>IF(O25&gt;0,O25,DATE(YEAR,October,1+7*_1st_weekday_occurrence)-WEEKDAY(DATE(YEAR,October,8-Thursday)))</f>
        <v>45568</v>
      </c>
      <c r="N25" s="41"/>
    </row>
    <row r="26" spans="2:14" ht="15" customHeight="1" x14ac:dyDescent="0.25">
      <c r="B26" s="4">
        <v>801</v>
      </c>
      <c r="C26" t="s">
        <v>6</v>
      </c>
      <c r="D26" s="8" t="s">
        <v>2</v>
      </c>
      <c r="F26" s="15" t="s">
        <v>174</v>
      </c>
      <c r="G26" s="26"/>
      <c r="H26" s="26"/>
      <c r="I26" s="26"/>
      <c r="J26" s="26"/>
      <c r="K26" s="26"/>
      <c r="L26" s="42" t="s">
        <v>708</v>
      </c>
      <c r="M26" s="5">
        <f>IF(O26&gt;0,O26,DATE(YEAR,October,1+7*_1st_weekday_occurrence)-WEEKDAY(DATE(YEAR,October,8-Monday)))</f>
        <v>45572</v>
      </c>
      <c r="N26" s="41"/>
    </row>
    <row r="27" spans="2:14" ht="15" customHeight="1" x14ac:dyDescent="0.25">
      <c r="B27" s="4">
        <v>987</v>
      </c>
      <c r="C27" t="s">
        <v>173</v>
      </c>
      <c r="D27" s="8" t="s">
        <v>2</v>
      </c>
      <c r="E27" s="8" t="s">
        <v>225</v>
      </c>
      <c r="F27" s="42" t="s">
        <v>174</v>
      </c>
      <c r="G27" s="26"/>
      <c r="H27" s="26"/>
      <c r="I27" s="26"/>
      <c r="J27" s="26"/>
      <c r="K27" s="26"/>
      <c r="L27" s="26" t="s">
        <v>672</v>
      </c>
      <c r="M27" s="5">
        <f>IF(O27&gt;0,O27,DATE(YEAR,October,1+7*_1st_weekday_occurrence)-WEEKDAY(DATE(YEAR,October,8-Monday)))</f>
        <v>45572</v>
      </c>
      <c r="N27" s="41"/>
    </row>
    <row r="28" spans="2:14" ht="15" customHeight="1" x14ac:dyDescent="0.25">
      <c r="B28" s="4">
        <v>5</v>
      </c>
      <c r="C28" t="s">
        <v>178</v>
      </c>
      <c r="D28" s="8" t="s">
        <v>2</v>
      </c>
      <c r="E28" s="8" t="s">
        <v>225</v>
      </c>
      <c r="F28" s="42" t="s">
        <v>179</v>
      </c>
      <c r="G28" s="42"/>
      <c r="H28" s="42"/>
      <c r="I28" s="42"/>
      <c r="J28" s="42"/>
      <c r="K28" s="42"/>
      <c r="L28" t="s">
        <v>708</v>
      </c>
      <c r="M28" s="5">
        <f>IF(O28&gt;0,O28,DATE(YEAR,October,1+7*_2nd_weekday_occurrence)-WEEKDAY(DATE(YEAR,October,8-Tuesday)))</f>
        <v>45573</v>
      </c>
      <c r="N28" s="43"/>
    </row>
    <row r="29" spans="2:14" ht="15" customHeight="1" x14ac:dyDescent="0.25">
      <c r="B29" s="4">
        <v>8</v>
      </c>
      <c r="C29" t="s">
        <v>180</v>
      </c>
      <c r="D29" s="8" t="s">
        <v>2</v>
      </c>
      <c r="E29" s="8" t="s">
        <v>225</v>
      </c>
      <c r="F29" s="42" t="s">
        <v>179</v>
      </c>
      <c r="G29" s="42"/>
      <c r="H29" s="42"/>
      <c r="I29" s="42"/>
      <c r="J29" s="42"/>
      <c r="K29" s="42"/>
      <c r="L29" t="s">
        <v>693</v>
      </c>
      <c r="M29" s="5">
        <f>IF(O29&gt;0,O29,DATE(YEAR,October,1+7*_2nd_weekday_occurrence)-WEEKDAY(DATE(YEAR,October,8-Tuesday)))</f>
        <v>45573</v>
      </c>
    </row>
    <row r="30" spans="2:14" ht="15" customHeight="1" x14ac:dyDescent="0.25">
      <c r="B30" s="4">
        <v>433</v>
      </c>
      <c r="C30" t="s">
        <v>220</v>
      </c>
      <c r="D30" s="8" t="s">
        <v>2</v>
      </c>
      <c r="F30" s="15" t="s">
        <v>179</v>
      </c>
      <c r="G30" s="26"/>
      <c r="H30" s="26"/>
      <c r="I30" s="26"/>
      <c r="J30" s="26"/>
      <c r="K30" s="26"/>
      <c r="L30" s="51" t="s">
        <v>673</v>
      </c>
      <c r="M30" s="5">
        <f>IF(O30&gt;0,O30,DATE(YEAR,October,1+7*_2nd_weekday_occurrence)-WEEKDAY(DATE(YEAR,October,8-Tuesday)))</f>
        <v>45573</v>
      </c>
      <c r="N30" s="41"/>
    </row>
    <row r="31" spans="2:14" ht="15" customHeight="1" x14ac:dyDescent="0.25">
      <c r="B31" s="4">
        <v>224</v>
      </c>
      <c r="C31" t="s">
        <v>49</v>
      </c>
      <c r="D31" s="8" t="s">
        <v>2</v>
      </c>
      <c r="F31" s="15" t="s">
        <v>448</v>
      </c>
      <c r="G31" s="26"/>
      <c r="H31" s="26"/>
      <c r="I31" s="26"/>
      <c r="J31" s="26"/>
      <c r="K31" s="26"/>
      <c r="L31" t="s">
        <v>693</v>
      </c>
      <c r="M31" s="44">
        <f>IF(O31&gt;0,O31,DATE(YEAR,October,1+7*_2nd_weekday_occurrence)-WEEKDAY(DATE(YEAR,October,8-Wednesday)))</f>
        <v>45574</v>
      </c>
      <c r="N31" s="41"/>
    </row>
    <row r="32" spans="2:14" ht="15" customHeight="1" x14ac:dyDescent="0.25">
      <c r="B32" s="4">
        <v>469</v>
      </c>
      <c r="C32" t="s">
        <v>216</v>
      </c>
      <c r="D32" s="8" t="s">
        <v>2</v>
      </c>
      <c r="F32" s="14" t="s">
        <v>448</v>
      </c>
      <c r="G32" s="26"/>
      <c r="H32" s="26"/>
      <c r="I32" s="26"/>
      <c r="J32" s="26"/>
      <c r="K32" s="26"/>
      <c r="L32" t="s">
        <v>708</v>
      </c>
      <c r="M32" s="5">
        <f>IF(O32&gt;0,O32,DATE(YEAR,October,1+7*_2nd_weekday_occurrence)-WEEKDAY(DATE(YEAR,October,8-Wednesday)))</f>
        <v>45574</v>
      </c>
      <c r="N32" s="41"/>
    </row>
    <row r="33" spans="2:14" ht="15" customHeight="1" x14ac:dyDescent="0.25">
      <c r="B33" s="4">
        <v>833</v>
      </c>
      <c r="C33" t="s">
        <v>82</v>
      </c>
      <c r="D33" s="8" t="s">
        <v>2</v>
      </c>
      <c r="F33" s="15" t="s">
        <v>448</v>
      </c>
      <c r="G33" s="26"/>
      <c r="H33" s="26"/>
      <c r="I33" s="26"/>
      <c r="J33" s="26"/>
      <c r="K33" s="26"/>
      <c r="L33" s="51" t="s">
        <v>673</v>
      </c>
      <c r="M33" s="5">
        <f>IF(O33&gt;0,O33,DATE(YEAR,October,1+7*_2nd_weekday_occurrence)-WEEKDAY(DATE(YEAR,October,8-Wednesday)))</f>
        <v>45574</v>
      </c>
      <c r="N33" s="41"/>
    </row>
    <row r="34" spans="2:14" ht="15" customHeight="1" x14ac:dyDescent="0.25">
      <c r="B34" s="4">
        <v>856</v>
      </c>
      <c r="C34" t="s">
        <v>66</v>
      </c>
      <c r="D34" s="8" t="s">
        <v>2</v>
      </c>
      <c r="F34" s="14" t="s">
        <v>448</v>
      </c>
      <c r="G34" s="26"/>
      <c r="H34" s="26"/>
      <c r="I34" s="26"/>
      <c r="J34" s="26"/>
      <c r="K34" s="26"/>
      <c r="L34" t="s">
        <v>693</v>
      </c>
      <c r="M34" s="5">
        <f>IF(O34&gt;0,O34,DATE(YEAR,October,1+7*_2nd_weekday_occurrence)-WEEKDAY(DATE(YEAR,October,8-Wednesday)))</f>
        <v>45574</v>
      </c>
      <c r="N34" s="41"/>
    </row>
    <row r="35" spans="2:14" ht="15" customHeight="1" x14ac:dyDescent="0.25">
      <c r="B35" s="4">
        <v>616</v>
      </c>
      <c r="C35" t="s">
        <v>42</v>
      </c>
      <c r="D35" s="8" t="s">
        <v>2</v>
      </c>
      <c r="F35" s="15" t="s">
        <v>175</v>
      </c>
      <c r="G35" s="26"/>
      <c r="H35" s="26"/>
      <c r="I35" s="26"/>
      <c r="J35" s="26"/>
      <c r="K35" s="26"/>
      <c r="L35" s="51" t="s">
        <v>673</v>
      </c>
      <c r="M35" s="5">
        <f>IF(O35&gt;0,O35,DATE(YEAR,October,1+7*_2nd_weekday_occurrence)-WEEKDAY(DATE(YEAR,October,8-Saturday)))</f>
        <v>45577</v>
      </c>
      <c r="N35" s="41"/>
    </row>
    <row r="36" spans="2:14" ht="15" customHeight="1" x14ac:dyDescent="0.25">
      <c r="B36" s="4">
        <v>1997</v>
      </c>
      <c r="C36" t="s">
        <v>676</v>
      </c>
      <c r="D36" s="8" t="s">
        <v>2</v>
      </c>
      <c r="E36" s="8" t="s">
        <v>225</v>
      </c>
      <c r="F36" s="42" t="s">
        <v>175</v>
      </c>
      <c r="G36" s="26"/>
      <c r="H36" s="26"/>
      <c r="I36" s="26"/>
      <c r="J36" s="26"/>
      <c r="K36" s="26"/>
      <c r="L36" t="s">
        <v>708</v>
      </c>
      <c r="M36" s="5">
        <f>IF(O36&gt;0,O36,DATE(YEAR,October,1+7*_2nd_weekday_occurrence)-WEEKDAY(DATE(YEAR,October,8-Saturday)))</f>
        <v>45577</v>
      </c>
    </row>
    <row r="37" spans="2:14" ht="15" customHeight="1" x14ac:dyDescent="0.25">
      <c r="B37" s="4">
        <v>569</v>
      </c>
      <c r="C37" t="s">
        <v>99</v>
      </c>
      <c r="D37" s="8" t="s">
        <v>2</v>
      </c>
      <c r="F37" s="14" t="s">
        <v>177</v>
      </c>
      <c r="G37" s="26"/>
      <c r="H37" s="26"/>
      <c r="I37" s="26"/>
      <c r="J37" s="26"/>
      <c r="K37" s="26"/>
      <c r="L37" s="26" t="s">
        <v>672</v>
      </c>
      <c r="M37" s="5">
        <f>IF(O37&gt;0,O37,DATE(YEAR,October,1+7*_2nd_weekday_occurrence)-WEEKDAY(DATE(YEAR,October,8-Monday)))</f>
        <v>45579</v>
      </c>
      <c r="N37" s="41"/>
    </row>
    <row r="38" spans="2:14" ht="15" customHeight="1" x14ac:dyDescent="0.25">
      <c r="B38" s="4">
        <v>633</v>
      </c>
      <c r="C38" t="s">
        <v>176</v>
      </c>
      <c r="D38" s="8" t="s">
        <v>2</v>
      </c>
      <c r="E38" s="8" t="s">
        <v>225</v>
      </c>
      <c r="F38" s="42" t="s">
        <v>177</v>
      </c>
      <c r="G38" s="26"/>
      <c r="H38" s="26"/>
      <c r="I38" s="26"/>
      <c r="J38" s="26"/>
      <c r="K38" s="26"/>
      <c r="L38" t="s">
        <v>693</v>
      </c>
      <c r="M38" s="5">
        <f>IF(O38&gt;0,O38,DATE(YEAR,October,1+7*_2nd_weekday_occurrence)-WEEKDAY(DATE(YEAR,October,8-Monday)))</f>
        <v>45579</v>
      </c>
      <c r="N38" s="41"/>
    </row>
    <row r="39" spans="2:14" ht="15" customHeight="1" x14ac:dyDescent="0.25">
      <c r="B39" s="4">
        <v>22</v>
      </c>
      <c r="C39" t="s">
        <v>70</v>
      </c>
      <c r="D39" s="8" t="s">
        <v>2</v>
      </c>
      <c r="F39" s="14" t="s">
        <v>442</v>
      </c>
      <c r="G39" s="26"/>
      <c r="H39" s="26"/>
      <c r="I39" s="26"/>
      <c r="J39" s="26"/>
      <c r="K39" s="26"/>
      <c r="L39" t="s">
        <v>708</v>
      </c>
      <c r="M39" s="5">
        <f>IF(O39&gt;0,O39,DATE(YEAR,October,1+7*_3rd_weekday_occurrence)-WEEKDAY(DATE(YEAR,October,8-Tuesday)))</f>
        <v>45580</v>
      </c>
      <c r="N39" s="41"/>
    </row>
    <row r="40" spans="2:14" ht="15" customHeight="1" x14ac:dyDescent="0.25">
      <c r="B40" s="4">
        <v>418</v>
      </c>
      <c r="C40" t="s">
        <v>91</v>
      </c>
      <c r="D40" s="8" t="s">
        <v>2</v>
      </c>
      <c r="F40" s="15" t="s">
        <v>442</v>
      </c>
      <c r="G40" s="26"/>
      <c r="H40" s="26"/>
      <c r="I40" s="26"/>
      <c r="J40" s="26"/>
      <c r="K40" s="26"/>
      <c r="L40" s="42" t="s">
        <v>709</v>
      </c>
      <c r="M40" s="5">
        <f>IF(O40&gt;0,O40,DATE(YEAR,October,1+7*_3rd_weekday_occurrence)-WEEKDAY(DATE(YEAR,October,8-Tuesday)))</f>
        <v>45580</v>
      </c>
      <c r="N40" s="41"/>
    </row>
    <row r="41" spans="2:14" ht="15" customHeight="1" x14ac:dyDescent="0.25">
      <c r="B41" s="4">
        <v>932</v>
      </c>
      <c r="C41" t="s">
        <v>63</v>
      </c>
      <c r="D41" s="8" t="s">
        <v>2</v>
      </c>
      <c r="F41" s="14" t="s">
        <v>442</v>
      </c>
      <c r="G41" s="26"/>
      <c r="H41" s="26"/>
      <c r="I41" s="26"/>
      <c r="J41" s="26"/>
      <c r="K41" s="26"/>
      <c r="L41" t="s">
        <v>709</v>
      </c>
      <c r="M41" s="5">
        <f>IF(O41&gt;0,O41,DATE(YEAR,October,1+7*_3rd_weekday_occurrence)-WEEKDAY(DATE(YEAR,October,8-Tuesday)))</f>
        <v>45580</v>
      </c>
      <c r="N41" s="41"/>
    </row>
    <row r="42" spans="2:14" ht="15" customHeight="1" x14ac:dyDescent="0.25">
      <c r="B42" s="4">
        <v>899</v>
      </c>
      <c r="C42" t="s">
        <v>107</v>
      </c>
      <c r="D42" s="8" t="s">
        <v>2</v>
      </c>
      <c r="F42" s="15" t="s">
        <v>193</v>
      </c>
      <c r="G42" s="26"/>
      <c r="H42" s="26"/>
      <c r="I42" s="26"/>
      <c r="J42" s="26"/>
      <c r="K42" s="26"/>
      <c r="L42" t="s">
        <v>708</v>
      </c>
      <c r="M42" s="5">
        <f>IF(O42&gt;0,O42,DATE(YEAR,October,1+7*_3rd_weekday_occurrence)-WEEKDAY(DATE(YEAR,October,8-Wednesday)))</f>
        <v>45581</v>
      </c>
      <c r="N42" s="41"/>
    </row>
    <row r="43" spans="2:14" ht="15" customHeight="1" x14ac:dyDescent="0.25">
      <c r="B43" s="4">
        <v>996</v>
      </c>
      <c r="C43" t="s">
        <v>192</v>
      </c>
      <c r="D43" s="8" t="s">
        <v>2</v>
      </c>
      <c r="E43" s="8" t="s">
        <v>225</v>
      </c>
      <c r="F43" s="42" t="s">
        <v>193</v>
      </c>
      <c r="G43" s="26"/>
      <c r="H43" s="26"/>
      <c r="I43" s="26"/>
      <c r="J43" s="26"/>
      <c r="K43" s="26"/>
      <c r="L43" t="s">
        <v>708</v>
      </c>
      <c r="M43" s="5">
        <f>IF(O43&gt;0,O43,DATE(YEAR,October,1+7*_3rd_weekday_occurrence)-WEEKDAY(DATE(YEAR,October,8-Wednesday)))</f>
        <v>45581</v>
      </c>
      <c r="N43" s="41"/>
    </row>
    <row r="44" spans="2:14" ht="15" customHeight="1" x14ac:dyDescent="0.25">
      <c r="B44" s="4">
        <v>1265</v>
      </c>
      <c r="C44" t="s">
        <v>194</v>
      </c>
      <c r="D44" s="8" t="s">
        <v>2</v>
      </c>
      <c r="E44" s="8" t="s">
        <v>225</v>
      </c>
      <c r="F44" s="42" t="s">
        <v>193</v>
      </c>
      <c r="G44" s="26"/>
      <c r="H44" s="26"/>
      <c r="I44" s="26"/>
      <c r="J44" s="26"/>
      <c r="K44" s="26"/>
      <c r="L44" s="42" t="s">
        <v>710</v>
      </c>
      <c r="M44" s="5">
        <f>IF(O44&gt;0,O44,DATE(YEAR,October,1+7*_3rd_weekday_occurrence)-WEEKDAY(DATE(YEAR,October,8-Wednesday)))</f>
        <v>45581</v>
      </c>
      <c r="N44" s="41"/>
    </row>
    <row r="45" spans="2:14" ht="15" customHeight="1" x14ac:dyDescent="0.25">
      <c r="B45" s="4">
        <v>1228</v>
      </c>
      <c r="C45" t="s">
        <v>84</v>
      </c>
      <c r="D45" s="8" t="s">
        <v>2</v>
      </c>
      <c r="F45" s="15" t="s">
        <v>497</v>
      </c>
      <c r="G45" s="26"/>
      <c r="H45" s="26"/>
      <c r="I45" s="26"/>
      <c r="J45" s="26"/>
      <c r="K45" s="26"/>
      <c r="L45" t="s">
        <v>710</v>
      </c>
      <c r="M45" s="5">
        <f>IF(O45&gt;0,O45,DATE(YEAR,October,1+7*_3rd_weekday_occurrence)-WEEKDAY(DATE(YEAR,October,8-Thursday)))</f>
        <v>45582</v>
      </c>
      <c r="N45" s="41"/>
    </row>
    <row r="46" spans="2:14" ht="15" customHeight="1" x14ac:dyDescent="0.25">
      <c r="B46" s="4">
        <v>1895</v>
      </c>
      <c r="C46" t="s">
        <v>184</v>
      </c>
      <c r="D46" s="8" t="s">
        <v>2</v>
      </c>
      <c r="E46" s="8" t="s">
        <v>225</v>
      </c>
      <c r="F46" s="42" t="s">
        <v>183</v>
      </c>
      <c r="G46" s="26"/>
      <c r="H46" s="26"/>
      <c r="I46" s="26"/>
      <c r="J46" s="26"/>
      <c r="K46" s="26"/>
      <c r="L46" s="5" t="s">
        <v>672</v>
      </c>
      <c r="M46" s="5">
        <f>IF(O46&gt;0,O46,DATE(YEAR,October,1+7*_3rd_weekday_occurrence)-WEEKDAY(DATE(YEAR,October,8-Thursday)))</f>
        <v>45582</v>
      </c>
      <c r="N46" s="41"/>
    </row>
    <row r="47" spans="2:14" ht="15" customHeight="1" x14ac:dyDescent="0.25">
      <c r="B47" s="4">
        <v>1994</v>
      </c>
      <c r="C47" t="s">
        <v>185</v>
      </c>
      <c r="D47" s="8" t="s">
        <v>2</v>
      </c>
      <c r="E47" s="8" t="s">
        <v>225</v>
      </c>
      <c r="F47" s="42" t="s">
        <v>183</v>
      </c>
      <c r="G47" s="26"/>
      <c r="H47" s="26"/>
      <c r="I47" s="26"/>
      <c r="J47" s="26"/>
      <c r="K47" s="26"/>
      <c r="L47" s="51" t="s">
        <v>673</v>
      </c>
      <c r="M47" s="5">
        <f>IF(O47&gt;0,O47,DATE(YEAR,October,1+7*_3rd_weekday_occurrence)-WEEKDAY(DATE(YEAR,October,8-Thursday)))</f>
        <v>45582</v>
      </c>
      <c r="N47" s="41"/>
    </row>
    <row r="48" spans="2:14" ht="15" customHeight="1" x14ac:dyDescent="0.25">
      <c r="B48" s="4" t="s">
        <v>181</v>
      </c>
      <c r="C48" t="s">
        <v>182</v>
      </c>
      <c r="D48" s="8" t="s">
        <v>2</v>
      </c>
      <c r="E48" s="8" t="s">
        <v>225</v>
      </c>
      <c r="F48" s="42" t="s">
        <v>183</v>
      </c>
      <c r="G48" s="26"/>
      <c r="H48" s="26"/>
      <c r="I48" s="26"/>
      <c r="J48" s="26"/>
      <c r="K48" s="26"/>
      <c r="L48" s="26" t="s">
        <v>672</v>
      </c>
      <c r="M48" s="44">
        <f>IF(O48&gt;0,O48,DATE(YEAR,October,1+7*_3rd_weekday_occurrence)-WEEKDAY(DATE(YEAR,October,8-Thursday)))</f>
        <v>45582</v>
      </c>
    </row>
    <row r="49" spans="2:14" ht="15" customHeight="1" x14ac:dyDescent="0.25">
      <c r="B49" s="4">
        <v>1889</v>
      </c>
      <c r="C49" t="s">
        <v>186</v>
      </c>
      <c r="D49" s="8" t="s">
        <v>2</v>
      </c>
      <c r="E49" s="8" t="s">
        <v>225</v>
      </c>
      <c r="F49" s="42" t="s">
        <v>187</v>
      </c>
      <c r="G49" s="26"/>
      <c r="H49" s="26"/>
      <c r="I49" s="26"/>
      <c r="J49" s="26"/>
      <c r="K49" s="26"/>
      <c r="L49" s="5" t="s">
        <v>672</v>
      </c>
      <c r="M49" s="5">
        <f>IF(O49&gt;0,O49,DATE(YEAR,October,1+7*_3rd_weekday_occurrence)-WEEKDAY(DATE(YEAR,October,8-Friday)))</f>
        <v>45583</v>
      </c>
      <c r="N49" s="41"/>
    </row>
    <row r="50" spans="2:14" ht="15" customHeight="1" x14ac:dyDescent="0.25">
      <c r="B50" s="4">
        <v>176</v>
      </c>
      <c r="C50" t="s">
        <v>188</v>
      </c>
      <c r="D50" s="8" t="s">
        <v>2</v>
      </c>
      <c r="E50" s="8" t="s">
        <v>225</v>
      </c>
      <c r="F50" s="42" t="s">
        <v>189</v>
      </c>
      <c r="G50" s="26"/>
      <c r="H50" s="26"/>
      <c r="I50" s="26"/>
      <c r="J50" s="26"/>
      <c r="K50" s="26"/>
      <c r="L50" s="5" t="s">
        <v>709</v>
      </c>
      <c r="M50" s="44">
        <f>IF(O50&gt;0,O50,DATE(YEAR,October,1+7*_3rd_weekday_occurrence)-WEEKDAY(DATE(YEAR,October,8-Saturday)))</f>
        <v>45584</v>
      </c>
      <c r="N50" s="41"/>
    </row>
    <row r="51" spans="2:14" ht="15" customHeight="1" x14ac:dyDescent="0.25">
      <c r="B51" s="4">
        <v>406</v>
      </c>
      <c r="C51" t="s">
        <v>61</v>
      </c>
      <c r="D51" s="8" t="s">
        <v>2</v>
      </c>
      <c r="F51" s="15" t="s">
        <v>191</v>
      </c>
      <c r="G51" s="26"/>
      <c r="H51" s="26"/>
      <c r="I51" s="26"/>
      <c r="J51" s="26"/>
      <c r="K51" s="26"/>
      <c r="L51" s="26" t="s">
        <v>672</v>
      </c>
      <c r="M51" s="5">
        <f>IF(O51&gt;0,O51,DATE(YEAR,October,1+7*_3rd_weekday_occurrence)-WEEKDAY(DATE(YEAR,October,8-Monday)))</f>
        <v>45586</v>
      </c>
      <c r="N51" s="41"/>
    </row>
    <row r="52" spans="2:14" ht="15" customHeight="1" x14ac:dyDescent="0.25">
      <c r="B52" s="4">
        <v>459</v>
      </c>
      <c r="C52" t="s">
        <v>137</v>
      </c>
      <c r="D52" s="8" t="s">
        <v>2</v>
      </c>
      <c r="F52" s="14" t="s">
        <v>463</v>
      </c>
      <c r="G52" s="26"/>
      <c r="H52" s="26"/>
      <c r="I52" s="26"/>
      <c r="J52" s="26"/>
      <c r="K52" s="26"/>
      <c r="L52" s="42" t="s">
        <v>672</v>
      </c>
      <c r="M52" s="5">
        <f>IF(O52&gt;0,O52,DATE(YEAR,October,1+7*_3rd_weekday_occurrence)-WEEKDAY(DATE(YEAR,October,8-Monday)))</f>
        <v>45586</v>
      </c>
      <c r="N52" s="41"/>
    </row>
    <row r="53" spans="2:14" ht="15" customHeight="1" x14ac:dyDescent="0.25">
      <c r="B53" s="4">
        <v>1200</v>
      </c>
      <c r="C53" t="s">
        <v>131</v>
      </c>
      <c r="D53" s="8" t="s">
        <v>2</v>
      </c>
      <c r="F53" s="15" t="s">
        <v>191</v>
      </c>
      <c r="G53" s="26"/>
      <c r="H53" s="26"/>
      <c r="I53" s="26"/>
      <c r="J53" s="26"/>
      <c r="K53" s="26"/>
      <c r="L53" s="42" t="s">
        <v>710</v>
      </c>
      <c r="M53" s="5">
        <f>IF(O53&gt;0,O53,DATE(YEAR,October,1+7*_3rd_weekday_occurrence)-WEEKDAY(DATE(YEAR,October,8-Monday)))</f>
        <v>45586</v>
      </c>
      <c r="N53" s="41"/>
    </row>
    <row r="54" spans="2:14" ht="15" customHeight="1" x14ac:dyDescent="0.25">
      <c r="B54" s="4">
        <v>1467</v>
      </c>
      <c r="C54" t="s">
        <v>190</v>
      </c>
      <c r="D54" s="8" t="s">
        <v>2</v>
      </c>
      <c r="E54" s="8" t="s">
        <v>225</v>
      </c>
      <c r="F54" s="42" t="s">
        <v>191</v>
      </c>
      <c r="G54" s="26"/>
      <c r="H54" s="26"/>
      <c r="I54" s="26"/>
      <c r="J54" s="26"/>
      <c r="K54" s="26"/>
      <c r="L54" s="51" t="s">
        <v>673</v>
      </c>
      <c r="M54" s="5">
        <f>IF(O54&gt;0,O54,DATE(YEAR,October,1+7*_3rd_weekday_occurrence)-WEEKDAY(DATE(YEAR,October,8-Monday)))</f>
        <v>45586</v>
      </c>
      <c r="N54" s="41"/>
    </row>
    <row r="55" spans="2:14" ht="15" customHeight="1" x14ac:dyDescent="0.25">
      <c r="B55" s="4">
        <v>1748</v>
      </c>
      <c r="C55" t="s">
        <v>23</v>
      </c>
      <c r="D55" s="8" t="s">
        <v>2</v>
      </c>
      <c r="F55" s="15" t="s">
        <v>506</v>
      </c>
      <c r="G55" s="26"/>
      <c r="H55" s="26"/>
      <c r="I55" s="26"/>
      <c r="J55" s="26"/>
      <c r="K55" s="26"/>
      <c r="L55" s="42" t="s">
        <v>709</v>
      </c>
      <c r="M55" s="5">
        <f>IF(O55&gt;0,O55,DATE(YEAR,October,1+7*_4th_weekday_occurrence)-WEEKDAY(DATE(YEAR,October,8-Tuesday)))</f>
        <v>45587</v>
      </c>
      <c r="N55" s="41"/>
    </row>
    <row r="56" spans="2:14" ht="15" customHeight="1" x14ac:dyDescent="0.25">
      <c r="B56" s="4">
        <v>1</v>
      </c>
      <c r="C56" t="s">
        <v>64</v>
      </c>
      <c r="D56" s="8" t="s">
        <v>2</v>
      </c>
      <c r="F56" s="14" t="s">
        <v>434</v>
      </c>
      <c r="L56" s="42" t="s">
        <v>709</v>
      </c>
      <c r="M56" s="5">
        <f>IF(O56&gt;0,O56,DATE(YEAR,October,1+7*_4th_weekday_occurrence)-WEEKDAY(DATE(YEAR,October,8-Wednesday)))</f>
        <v>45588</v>
      </c>
      <c r="N56" s="41"/>
    </row>
    <row r="57" spans="2:14" ht="15" customHeight="1" x14ac:dyDescent="0.25">
      <c r="B57" s="4">
        <v>1091</v>
      </c>
      <c r="C57" t="s">
        <v>55</v>
      </c>
      <c r="D57" s="8" t="s">
        <v>2</v>
      </c>
      <c r="F57" s="15" t="s">
        <v>434</v>
      </c>
      <c r="G57" s="26"/>
      <c r="H57" s="26"/>
      <c r="I57" s="26"/>
      <c r="J57" s="26"/>
      <c r="K57" s="26"/>
      <c r="L57" s="42" t="s">
        <v>710</v>
      </c>
      <c r="M57" s="5">
        <f>IF(O57&gt;0,O57,DATE(YEAR,October,1+7*_4th_weekday_occurrence)-WEEKDAY(DATE(YEAR,October,8-Wednesday)))</f>
        <v>45588</v>
      </c>
      <c r="N57" s="41"/>
    </row>
    <row r="58" spans="2:14" ht="15" customHeight="1" x14ac:dyDescent="0.25">
      <c r="B58" s="4">
        <v>1074</v>
      </c>
      <c r="C58" t="s">
        <v>109</v>
      </c>
      <c r="D58" s="8" t="s">
        <v>2</v>
      </c>
      <c r="F58" s="15" t="s">
        <v>488</v>
      </c>
      <c r="G58" s="26"/>
      <c r="H58" s="26"/>
      <c r="I58" s="26"/>
      <c r="J58" s="26"/>
      <c r="K58" s="26"/>
      <c r="L58" t="s">
        <v>693</v>
      </c>
      <c r="M58" s="5">
        <f>IF(O58&gt;0,O58,DATE(YEAR,October,1+7*_4th_weekday_occurrence)-WEEKDAY(DATE(YEAR,October,8-Thursday)))</f>
        <v>45589</v>
      </c>
      <c r="N58" s="41"/>
    </row>
    <row r="59" spans="2:14" ht="15" customHeight="1" x14ac:dyDescent="0.25">
      <c r="B59" s="4">
        <v>458</v>
      </c>
      <c r="C59" t="s">
        <v>72</v>
      </c>
      <c r="D59" s="8" t="s">
        <v>2</v>
      </c>
      <c r="F59" s="15" t="s">
        <v>462</v>
      </c>
      <c r="G59" s="26"/>
      <c r="H59" s="26"/>
      <c r="I59" s="26"/>
      <c r="J59" s="26"/>
      <c r="K59" s="26"/>
      <c r="L59" s="51" t="s">
        <v>673</v>
      </c>
      <c r="M59" s="5">
        <f>IF(O59&gt;0,O59,DATE(YEAR,October,1+7*_4th_weekday_occurrence)-WEEKDAY(DATE(YEAR,October,8-Friday)))</f>
        <v>45590</v>
      </c>
      <c r="N59" s="41"/>
    </row>
    <row r="60" spans="2:14" ht="15" customHeight="1" x14ac:dyDescent="0.25">
      <c r="B60" s="4">
        <v>997</v>
      </c>
      <c r="C60" t="s">
        <v>88</v>
      </c>
      <c r="D60" s="8" t="s">
        <v>2</v>
      </c>
      <c r="F60" s="42" t="s">
        <v>462</v>
      </c>
      <c r="G60" s="26"/>
      <c r="H60" s="26"/>
      <c r="I60" s="26"/>
      <c r="J60" s="26"/>
      <c r="K60" s="26"/>
      <c r="L60" t="s">
        <v>710</v>
      </c>
      <c r="M60" s="5">
        <f>IF(O60&gt;0,O60,DATE(YEAR,October,1+7*_4th_weekday_occurrence)-WEEKDAY(DATE(YEAR,October,8-Friday)))</f>
        <v>45590</v>
      </c>
      <c r="N60" s="41"/>
    </row>
    <row r="61" spans="2:14" ht="15" customHeight="1" x14ac:dyDescent="0.25">
      <c r="B61" s="4">
        <v>4</v>
      </c>
      <c r="C61" t="s">
        <v>123</v>
      </c>
      <c r="D61" s="8" t="s">
        <v>2</v>
      </c>
      <c r="F61" s="14" t="s">
        <v>436</v>
      </c>
      <c r="L61" t="s">
        <v>708</v>
      </c>
      <c r="M61" s="5">
        <f>IF(O61&gt;0,O61,DATE(YEAR,October,1+7*_4th_weekday_occurrence)-WEEKDAY(DATE(YEAR,October,8-Monday)))</f>
        <v>45593</v>
      </c>
      <c r="N61" s="41"/>
    </row>
    <row r="62" spans="2:14" ht="15" customHeight="1" x14ac:dyDescent="0.25">
      <c r="B62" s="4">
        <v>454</v>
      </c>
      <c r="C62" t="s">
        <v>135</v>
      </c>
      <c r="D62" s="8" t="s">
        <v>2</v>
      </c>
      <c r="F62" s="15" t="s">
        <v>436</v>
      </c>
      <c r="G62" s="26"/>
      <c r="H62" s="26"/>
      <c r="I62" s="26"/>
      <c r="J62" s="26"/>
      <c r="K62" s="26"/>
      <c r="L62" s="51" t="s">
        <v>673</v>
      </c>
      <c r="M62" s="5">
        <f>IF(O62&gt;0,O62,DATE(YEAR,October,1+7*_4th_weekday_occurrence)-WEEKDAY(DATE(YEAR,October,8-Monday)))</f>
        <v>45593</v>
      </c>
      <c r="N62" s="41"/>
    </row>
    <row r="63" spans="2:14" ht="15" customHeight="1" x14ac:dyDescent="0.25">
      <c r="B63" s="4">
        <v>104</v>
      </c>
      <c r="C63" t="s">
        <v>195</v>
      </c>
      <c r="D63" s="8" t="s">
        <v>2</v>
      </c>
      <c r="E63" s="8" t="s">
        <v>225</v>
      </c>
      <c r="F63" t="s">
        <v>532</v>
      </c>
      <c r="G63" s="5">
        <f>DATE(YEAR,October,1+7*_5th_weekday_occurrence)-WEEKDAY(DATE(YEAR,October,8-Monday))</f>
        <v>45600</v>
      </c>
      <c r="H63" s="5">
        <f>DATE(YEAR,October,1+7*_5th_weekday_occurrence)-WEEKDAY(DATE(YEAR,October,8-Tuesday))</f>
        <v>45594</v>
      </c>
      <c r="I63" s="5">
        <f>DATE(YEAR,October,1+7*_5th_weekday_occurrence)-WEEKDAY(DATE(YEAR,October,8-Wednesday))</f>
        <v>45595</v>
      </c>
      <c r="J63" s="5">
        <f>DATE(YEAR,October,1+7*_5th_weekday_occurrence)-WEEKDAY(DATE(YEAR,October,8-Thursday))</f>
        <v>45596</v>
      </c>
      <c r="K63" s="5">
        <f>DATE(YEAR,October,1+7*_5th_weekday_occurrence)-WEEKDAY(DATE(YEAR,October,8-Friday))</f>
        <v>45597</v>
      </c>
      <c r="L63" s="5" t="s">
        <v>710</v>
      </c>
      <c r="M63" s="5">
        <f>IF(O63&gt;0,O63,SMALL(G63:K63,COUNTIF(G63:K63,0)+1))</f>
        <v>45594</v>
      </c>
      <c r="N63" s="41"/>
    </row>
    <row r="64" spans="2:14" ht="15" customHeight="1" x14ac:dyDescent="0.25">
      <c r="B64" s="4">
        <v>2003</v>
      </c>
      <c r="C64" t="s">
        <v>144</v>
      </c>
      <c r="D64" s="8" t="s">
        <v>2</v>
      </c>
      <c r="F64" t="s">
        <v>511</v>
      </c>
      <c r="G64" s="5">
        <f>DATE(YEAR,October,1+7*_5th_weekday_occurrence)-WEEKDAY(DATE(YEAR,October,8-Monday))</f>
        <v>45600</v>
      </c>
      <c r="H64" s="5">
        <f>DATE(YEAR,October,1+7*_5th_weekday_occurrence)-WEEKDAY(DATE(YEAR,October,8-Tuesday))</f>
        <v>45594</v>
      </c>
      <c r="I64" s="5">
        <f>DATE(YEAR,October,1+7*_5th_weekday_occurrence)-WEEKDAY(DATE(YEAR,October,8-Wednesday))</f>
        <v>45595</v>
      </c>
      <c r="J64" s="5">
        <f>DATE(YEAR,October,1+7*_5th_weekday_occurrence)-WEEKDAY(DATE(YEAR,October,8-Thursday))</f>
        <v>45596</v>
      </c>
      <c r="K64" s="5">
        <f>DATE(YEAR,October,1+7*_5th_weekday_occurrence)-WEEKDAY(DATE(YEAR,October,8-Friday))</f>
        <v>45597</v>
      </c>
      <c r="L64" s="5" t="s">
        <v>672</v>
      </c>
      <c r="M64" s="5">
        <f>IF(O64&gt;0,O64,SMALL(G64:K64,COUNTIF(G64:K64,0)+1))</f>
        <v>45594</v>
      </c>
    </row>
    <row r="65" spans="2:14" ht="15" customHeight="1" x14ac:dyDescent="0.25">
      <c r="B65" s="4">
        <v>2013</v>
      </c>
      <c r="C65" t="s">
        <v>196</v>
      </c>
      <c r="D65" s="8" t="s">
        <v>2</v>
      </c>
      <c r="E65" s="8" t="s">
        <v>225</v>
      </c>
      <c r="F65" t="s">
        <v>530</v>
      </c>
      <c r="L65" s="51" t="s">
        <v>673</v>
      </c>
      <c r="M65" s="5">
        <f>IF(O65&gt;0,O65,WORKDAY(EOMONTH(DATE(YEAR,1,1),(October-1))+1,-1))</f>
        <v>45596</v>
      </c>
    </row>
    <row r="66" spans="2:14" ht="15" customHeight="1" x14ac:dyDescent="0.25">
      <c r="B66" s="4">
        <v>315</v>
      </c>
      <c r="C66" t="s">
        <v>197</v>
      </c>
      <c r="D66" s="8" t="s">
        <v>2</v>
      </c>
      <c r="E66" s="8" t="s">
        <v>225</v>
      </c>
      <c r="F66" s="42" t="s">
        <v>198</v>
      </c>
      <c r="G66" s="26"/>
      <c r="H66" s="26"/>
      <c r="I66" s="26"/>
      <c r="J66" s="26"/>
      <c r="K66" s="26"/>
      <c r="L66" t="s">
        <v>708</v>
      </c>
      <c r="M66" s="44">
        <f>IF(O66&gt;0,O66,DATE(YEAR,November,1+7*_1st_weekday_occurrence)-WEEKDAY(DATE(YEAR,November,8-Friday)))</f>
        <v>45597</v>
      </c>
      <c r="N66" s="41"/>
    </row>
    <row r="67" spans="2:14" ht="15" customHeight="1" x14ac:dyDescent="0.25">
      <c r="B67" s="4">
        <v>577</v>
      </c>
      <c r="C67" t="s">
        <v>38</v>
      </c>
      <c r="D67" s="8" t="s">
        <v>2</v>
      </c>
      <c r="F67" s="15" t="s">
        <v>198</v>
      </c>
      <c r="G67" s="26"/>
      <c r="H67" s="26"/>
      <c r="I67" s="26"/>
      <c r="J67" s="26"/>
      <c r="K67" s="26"/>
      <c r="L67" t="s">
        <v>709</v>
      </c>
      <c r="M67" s="44">
        <f>IF(O67&gt;0,O67,DATE(YEAR,November,1+7*_1st_weekday_occurrence)-WEEKDAY(DATE(YEAR,November,8-Friday)))</f>
        <v>45597</v>
      </c>
      <c r="N67" s="41"/>
    </row>
    <row r="68" spans="2:14" ht="15" customHeight="1" x14ac:dyDescent="0.25">
      <c r="B68" s="4">
        <v>2001</v>
      </c>
      <c r="C68" t="s">
        <v>58</v>
      </c>
      <c r="D68" s="8" t="s">
        <v>2</v>
      </c>
      <c r="F68" s="14" t="s">
        <v>198</v>
      </c>
      <c r="L68" s="51" t="s">
        <v>673</v>
      </c>
      <c r="M68" s="5">
        <f>IF(O68&gt;0,O68,DATE(YEAR,November,1+7*_1st_weekday_occurrence)-WEEKDAY(DATE(YEAR,November,8-Friday)))</f>
        <v>45597</v>
      </c>
    </row>
    <row r="69" spans="2:14" ht="15" customHeight="1" x14ac:dyDescent="0.25">
      <c r="B69" s="4">
        <v>1984</v>
      </c>
      <c r="C69" t="s">
        <v>199</v>
      </c>
      <c r="D69" s="8" t="s">
        <v>2</v>
      </c>
      <c r="E69" s="8" t="s">
        <v>225</v>
      </c>
      <c r="F69" s="42" t="s">
        <v>200</v>
      </c>
      <c r="G69" s="26"/>
      <c r="H69" s="26"/>
      <c r="I69" s="26"/>
      <c r="J69" s="26"/>
      <c r="K69" s="26"/>
      <c r="L69" s="51" t="s">
        <v>708</v>
      </c>
      <c r="M69" s="5">
        <f>IF(O69&gt;0,O69,DATE(YEAR,November,1+7*_1st_weekday_occurrence)-WEEKDAY(DATE(YEAR,November,8-Saturday)))</f>
        <v>45598</v>
      </c>
      <c r="N69" s="43"/>
    </row>
    <row r="70" spans="2:14" ht="15" customHeight="1" x14ac:dyDescent="0.25">
      <c r="B70" s="4">
        <v>2014</v>
      </c>
      <c r="C70" t="s">
        <v>201</v>
      </c>
      <c r="D70" s="8" t="s">
        <v>2</v>
      </c>
      <c r="E70" s="8" t="s">
        <v>225</v>
      </c>
      <c r="F70" s="42" t="s">
        <v>200</v>
      </c>
      <c r="G70" s="26"/>
      <c r="H70" s="26"/>
      <c r="I70" s="26"/>
      <c r="J70" s="26"/>
      <c r="K70" s="26"/>
      <c r="L70" s="5" t="s">
        <v>709</v>
      </c>
      <c r="M70" s="5">
        <f>IF(O70&gt;0,O70,DATE(YEAR,November,1+7*_1st_weekday_occurrence)-WEEKDAY(DATE(YEAR,November,8-Saturday)))</f>
        <v>45598</v>
      </c>
    </row>
    <row r="71" spans="2:14" ht="15" customHeight="1" x14ac:dyDescent="0.25">
      <c r="B71" s="4">
        <v>1771</v>
      </c>
      <c r="C71" t="s">
        <v>125</v>
      </c>
      <c r="D71" s="8" t="s">
        <v>2</v>
      </c>
      <c r="F71" s="14" t="s">
        <v>198</v>
      </c>
      <c r="G71" s="26"/>
      <c r="H71" s="26"/>
      <c r="I71" s="26"/>
      <c r="J71" s="26"/>
      <c r="K71" s="26"/>
      <c r="L71" t="s">
        <v>693</v>
      </c>
      <c r="M71" s="44">
        <f>IF(O71&gt;0,O71,DATE(YEAR,November,1+7*_1st_weekday_occurrence)-WEEKDAY(DATE(YEAR,November,Friday)))</f>
        <v>45600</v>
      </c>
      <c r="N71" s="41"/>
    </row>
    <row r="72" spans="2:14" ht="15" customHeight="1" x14ac:dyDescent="0.25">
      <c r="B72" s="4">
        <v>652</v>
      </c>
      <c r="C72" t="s">
        <v>127</v>
      </c>
      <c r="D72" s="8" t="s">
        <v>2</v>
      </c>
      <c r="F72" s="15" t="s">
        <v>472</v>
      </c>
      <c r="G72" s="26"/>
      <c r="H72" s="26"/>
      <c r="I72" s="26"/>
      <c r="J72" s="26"/>
      <c r="K72" s="26"/>
      <c r="L72" s="42" t="s">
        <v>709</v>
      </c>
      <c r="M72" s="5">
        <f>IF(O72&gt;0,O72,DATE(YEAR,November,1+7*_1st_weekday_occurrence)-WEEKDAY(DATE(YEAR,November,8-Tuesday)))</f>
        <v>45601</v>
      </c>
      <c r="N72" s="41"/>
    </row>
    <row r="73" spans="2:14" ht="15" customHeight="1" x14ac:dyDescent="0.25">
      <c r="B73" s="4">
        <v>742</v>
      </c>
      <c r="C73" t="s">
        <v>97</v>
      </c>
      <c r="D73" s="8" t="s">
        <v>2</v>
      </c>
      <c r="F73" s="14" t="s">
        <v>472</v>
      </c>
      <c r="G73" s="26"/>
      <c r="H73" s="26"/>
      <c r="I73" s="26"/>
      <c r="J73" s="26"/>
      <c r="K73" s="26"/>
      <c r="L73" s="42" t="s">
        <v>709</v>
      </c>
      <c r="M73" s="5">
        <f>IF(O73&gt;0,O73,DATE(YEAR,November,1+7*_1st_weekday_occurrence)-WEEKDAY(DATE(YEAR,November,8-Tuesday)))</f>
        <v>45601</v>
      </c>
      <c r="N73" s="41"/>
    </row>
    <row r="74" spans="2:14" ht="15" customHeight="1" x14ac:dyDescent="0.25">
      <c r="B74" s="4">
        <v>1124</v>
      </c>
      <c r="C74" t="s">
        <v>74</v>
      </c>
      <c r="D74" s="8" t="s">
        <v>2</v>
      </c>
      <c r="F74" s="15" t="s">
        <v>493</v>
      </c>
      <c r="G74" s="26"/>
      <c r="H74" s="26"/>
      <c r="I74" s="26"/>
      <c r="J74" s="26"/>
      <c r="K74" s="26"/>
      <c r="L74" s="5" t="s">
        <v>710</v>
      </c>
      <c r="M74" s="5">
        <f>IF(O74&gt;0,O74,DATE(YEAR,November,1+7*_1st_weekday_occurrence)-WEEKDAY(DATE(YEAR,November,8-Wednesday)))</f>
        <v>45602</v>
      </c>
      <c r="N74" s="41"/>
    </row>
    <row r="75" spans="2:14" ht="15" customHeight="1" x14ac:dyDescent="0.25">
      <c r="B75" s="4">
        <v>400</v>
      </c>
      <c r="C75" t="s">
        <v>117</v>
      </c>
      <c r="D75" s="8" t="s">
        <v>2</v>
      </c>
      <c r="F75" s="15" t="s">
        <v>458</v>
      </c>
      <c r="G75" s="26"/>
      <c r="H75" s="26"/>
      <c r="I75" s="26"/>
      <c r="J75" s="26"/>
      <c r="K75" s="26"/>
      <c r="L75" s="51" t="s">
        <v>673</v>
      </c>
      <c r="M75" s="5">
        <f>IF(O75&gt;0,O75,DATE(YEAR,November,1+7*_1st_weekday_occurrence)-WEEKDAY(DATE(YEAR,November,8-Thursday)))</f>
        <v>45603</v>
      </c>
      <c r="N75" s="41"/>
    </row>
    <row r="76" spans="2:14" ht="15" customHeight="1" x14ac:dyDescent="0.25">
      <c r="B76" s="4">
        <v>410</v>
      </c>
      <c r="C76" t="s">
        <v>93</v>
      </c>
      <c r="D76" s="8" t="s">
        <v>2</v>
      </c>
      <c r="F76" s="15" t="s">
        <v>459</v>
      </c>
      <c r="G76" s="26"/>
      <c r="H76" s="26"/>
      <c r="I76" s="26"/>
      <c r="J76" s="26"/>
      <c r="K76" s="26"/>
      <c r="L76" t="s">
        <v>693</v>
      </c>
      <c r="M76" s="5">
        <f>IF(O76&gt;0,O76,DATE(YEAR,November,1+7*_2nd_weekday_occurrence)-WEEKDAY(DATE(YEAR,November,8-Monday)))</f>
        <v>45607</v>
      </c>
      <c r="N76" s="41"/>
    </row>
    <row r="77" spans="2:14" ht="15" customHeight="1" x14ac:dyDescent="0.25">
      <c r="B77" s="4">
        <v>815</v>
      </c>
      <c r="C77" t="s">
        <v>80</v>
      </c>
      <c r="D77" s="8" t="s">
        <v>2</v>
      </c>
      <c r="F77" s="15" t="s">
        <v>459</v>
      </c>
      <c r="G77" s="26"/>
      <c r="H77" s="26"/>
      <c r="I77" s="26"/>
      <c r="J77" s="26"/>
      <c r="K77" s="26"/>
      <c r="L77" s="26" t="s">
        <v>673</v>
      </c>
      <c r="M77" s="5">
        <f>IF(O77&gt;0,O77,DATE(YEAR,November,1+7*_2nd_weekday_occurrence)-WEEKDAY(DATE(YEAR,November,8-Monday)))</f>
        <v>45607</v>
      </c>
      <c r="N77" s="41"/>
    </row>
    <row r="78" spans="2:14" ht="15" customHeight="1" x14ac:dyDescent="0.25">
      <c r="B78" s="4">
        <v>489</v>
      </c>
      <c r="C78" t="s">
        <v>202</v>
      </c>
      <c r="D78" s="8" t="s">
        <v>2</v>
      </c>
      <c r="E78" s="8" t="s">
        <v>225</v>
      </c>
      <c r="F78" s="42" t="s">
        <v>203</v>
      </c>
      <c r="G78" s="26"/>
      <c r="H78" s="26"/>
      <c r="I78" s="26"/>
      <c r="J78" s="26"/>
      <c r="K78" s="26"/>
      <c r="L78" t="s">
        <v>708</v>
      </c>
      <c r="M78" s="5">
        <f>IF(O78&gt;0,O78,DATE(YEAR,November,1+7*_2nd_weekday_occurrence)-WEEKDAY(DATE(YEAR,November,8-Tuesday)))</f>
        <v>45608</v>
      </c>
      <c r="N78" s="41"/>
    </row>
    <row r="79" spans="2:14" ht="15" customHeight="1" x14ac:dyDescent="0.25">
      <c r="B79" s="4">
        <v>1856</v>
      </c>
      <c r="C79" t="s">
        <v>204</v>
      </c>
      <c r="D79" s="8" t="s">
        <v>2</v>
      </c>
      <c r="E79" s="8" t="s">
        <v>225</v>
      </c>
      <c r="F79" s="42" t="s">
        <v>205</v>
      </c>
      <c r="G79" s="26"/>
      <c r="H79" s="26"/>
      <c r="I79" s="26"/>
      <c r="J79" s="26"/>
      <c r="K79" s="26"/>
      <c r="L79" t="s">
        <v>708</v>
      </c>
      <c r="M79" s="5">
        <f>IF(O79&gt;0,O79,DATE(YEAR,November,1+7*_2nd_weekday_occurrence)-WEEKDAY(DATE(YEAR,November,8-Tuesday)))</f>
        <v>45608</v>
      </c>
      <c r="N79" s="41"/>
    </row>
    <row r="80" spans="2:14" ht="15" customHeight="1" x14ac:dyDescent="0.25">
      <c r="B80" s="4">
        <v>107</v>
      </c>
      <c r="C80" t="s">
        <v>52</v>
      </c>
      <c r="D80" s="8" t="s">
        <v>2</v>
      </c>
      <c r="F80" s="15" t="s">
        <v>444</v>
      </c>
      <c r="G80" s="26"/>
      <c r="H80" s="26"/>
      <c r="I80" s="26"/>
      <c r="J80" s="26"/>
      <c r="K80" s="26"/>
      <c r="L80" t="s">
        <v>708</v>
      </c>
      <c r="M80" s="44">
        <f>IF(O80&gt;0,O80,DATE(YEAR,November,1+7*_2nd_weekday_occurrence)-WEEKDAY(DATE(YEAR,November,8-Thursday)))</f>
        <v>45610</v>
      </c>
      <c r="N80" s="41"/>
    </row>
    <row r="81" spans="2:14" ht="15" customHeight="1" x14ac:dyDescent="0.25">
      <c r="B81" s="4">
        <v>385</v>
      </c>
      <c r="C81" t="s">
        <v>33</v>
      </c>
      <c r="D81" s="8" t="s">
        <v>2</v>
      </c>
      <c r="F81" s="15" t="s">
        <v>444</v>
      </c>
      <c r="G81" s="26"/>
      <c r="H81" s="26"/>
      <c r="I81" s="26"/>
      <c r="J81" s="26"/>
      <c r="K81" s="26"/>
      <c r="L81" t="s">
        <v>708</v>
      </c>
      <c r="M81" s="5">
        <f>IF(O81&gt;0,O81,DATE(YEAR,November,1+7*_2nd_weekday_occurrence)-WEEKDAY(DATE(YEAR,November,8-Thursday)))</f>
        <v>45610</v>
      </c>
      <c r="N81" s="41"/>
    </row>
    <row r="82" spans="2:14" ht="15" customHeight="1" x14ac:dyDescent="0.25">
      <c r="B82" s="4">
        <v>647</v>
      </c>
      <c r="C82" t="s">
        <v>4</v>
      </c>
      <c r="D82" s="8" t="s">
        <v>2</v>
      </c>
      <c r="F82" s="15" t="s">
        <v>444</v>
      </c>
      <c r="G82" s="26"/>
      <c r="H82" s="26"/>
      <c r="I82" s="26"/>
      <c r="J82" s="26"/>
      <c r="K82" s="26"/>
      <c r="L82" t="s">
        <v>693</v>
      </c>
      <c r="M82" s="5">
        <f>IF(O82&gt;0,O82,DATE(YEAR,November,1+7*_2nd_weekday_occurrence)-WEEKDAY(DATE(YEAR,November,8-Thursday)))</f>
        <v>45610</v>
      </c>
      <c r="N82" s="41"/>
    </row>
    <row r="83" spans="2:14" ht="15" customHeight="1" x14ac:dyDescent="0.25">
      <c r="B83" s="4">
        <v>1604</v>
      </c>
      <c r="C83" t="s">
        <v>121</v>
      </c>
      <c r="D83" s="8" t="s">
        <v>2</v>
      </c>
      <c r="F83" s="14" t="s">
        <v>505</v>
      </c>
      <c r="G83" s="26"/>
      <c r="H83" s="26"/>
      <c r="I83" s="26"/>
      <c r="J83" s="26"/>
      <c r="K83" s="26"/>
      <c r="L83" s="26" t="s">
        <v>672</v>
      </c>
      <c r="M83" s="5">
        <f>IF(O83&gt;0,O83,DATE(YEAR,November,1+7*_3rd_weekday_occurrence)-WEEKDAY(DATE(YEAR,November,8-Saturday)))</f>
        <v>45612</v>
      </c>
      <c r="N83" s="43"/>
    </row>
    <row r="84" spans="2:14" ht="15" customHeight="1" x14ac:dyDescent="0.25">
      <c r="B84" s="4">
        <v>830</v>
      </c>
      <c r="C84" t="s">
        <v>150</v>
      </c>
      <c r="D84" s="8" t="s">
        <v>2</v>
      </c>
      <c r="F84" s="15" t="s">
        <v>480</v>
      </c>
      <c r="G84" s="26"/>
      <c r="H84" s="26"/>
      <c r="I84" s="26"/>
      <c r="J84" s="26"/>
      <c r="K84" s="26"/>
      <c r="L84" s="51" t="s">
        <v>673</v>
      </c>
      <c r="M84" s="5">
        <f>IF(O84&gt;0,O84,DATE(YEAR,November,1+7*_3rd_weekday_occurrence)-WEEKDAY(DATE(YEAR,November,8-Tuesday)))</f>
        <v>45615</v>
      </c>
      <c r="N84" s="41"/>
    </row>
    <row r="85" spans="2:14" ht="15" customHeight="1" x14ac:dyDescent="0.25">
      <c r="B85" s="4">
        <v>1870</v>
      </c>
      <c r="C85" t="s">
        <v>215</v>
      </c>
      <c r="D85" s="8" t="s">
        <v>2</v>
      </c>
      <c r="E85" s="8" t="s">
        <v>225</v>
      </c>
      <c r="F85" t="s">
        <v>696</v>
      </c>
      <c r="G85" s="5">
        <f>DATE(YEAR,November,1+7*_5th_weekday_occurrence)-WEEKDAY(DATE(YEAR,November,8-Monday))</f>
        <v>45628</v>
      </c>
      <c r="H85" s="5">
        <f>DATE(YEAR,November,1+7*_5th_weekday_occurrence)-WEEKDAY(DATE(YEAR,November,8-Tuesday))</f>
        <v>45629</v>
      </c>
      <c r="I85" s="5">
        <f>DATE(YEAR,November,1+7*_5th_weekday_occurrence)-WEEKDAY(DATE(YEAR,November,8-Wednesday))</f>
        <v>45630</v>
      </c>
      <c r="J85" s="5">
        <f>DATE(YEAR,November,1+7*_5th_weekday_occurrence)-WEEKDAY(DATE(YEAR,November,8-Thursday))</f>
        <v>45631</v>
      </c>
      <c r="K85" s="5">
        <f>DATE(YEAR,November,1+7*_5th_weekday_occurrence)-WEEKDAY(DATE(YEAR,November,8-Friday))</f>
        <v>45625</v>
      </c>
      <c r="L85" s="5" t="s">
        <v>672</v>
      </c>
      <c r="M85" s="5">
        <f>IF(O85&gt;0,O85,DATE(YEAR,November,1+7*_3rd_weekday_occurrence)-WEEKDAY(DATE(YEAR,November,8-Tuesday)))</f>
        <v>45615</v>
      </c>
      <c r="N85" s="41"/>
    </row>
    <row r="86" spans="2:14" ht="15" customHeight="1" x14ac:dyDescent="0.25">
      <c r="B86" s="4">
        <v>139</v>
      </c>
      <c r="C86" t="s">
        <v>206</v>
      </c>
      <c r="D86" s="8" t="s">
        <v>2</v>
      </c>
      <c r="E86" s="8" t="s">
        <v>225</v>
      </c>
      <c r="F86" s="42" t="s">
        <v>207</v>
      </c>
      <c r="G86" s="26"/>
      <c r="H86" s="26"/>
      <c r="I86" s="26"/>
      <c r="J86" s="26"/>
      <c r="K86" s="26"/>
      <c r="L86" s="5" t="s">
        <v>710</v>
      </c>
      <c r="M86" s="44">
        <f>IF(O86&gt;0,O86,DATE(YEAR,November,1+7*_3rd_weekday_occurrence)-WEEKDAY(DATE(YEAR,November,8-Wednesday)))</f>
        <v>45616</v>
      </c>
      <c r="N86" s="41"/>
    </row>
    <row r="87" spans="2:14" ht="15" customHeight="1" x14ac:dyDescent="0.25">
      <c r="B87" s="4">
        <v>361</v>
      </c>
      <c r="C87" t="s">
        <v>208</v>
      </c>
      <c r="D87" s="8" t="s">
        <v>2</v>
      </c>
      <c r="E87" s="8" t="s">
        <v>225</v>
      </c>
      <c r="F87" s="42" t="s">
        <v>209</v>
      </c>
      <c r="G87" s="26"/>
      <c r="H87" s="26"/>
      <c r="I87" s="26"/>
      <c r="J87" s="26"/>
      <c r="K87" s="26"/>
      <c r="L87" s="51" t="s">
        <v>673</v>
      </c>
      <c r="M87" s="44">
        <f>IF(O87&gt;0,O87,DATE(YEAR,November,1+7*_3rd_weekday_occurrence)-WEEKDAY(DATE(YEAR,November,8-Thursday)))</f>
        <v>45617</v>
      </c>
      <c r="N87" s="41"/>
    </row>
    <row r="88" spans="2:14" ht="15" customHeight="1" x14ac:dyDescent="0.25">
      <c r="B88" s="4">
        <v>431</v>
      </c>
      <c r="C88" t="s">
        <v>89</v>
      </c>
      <c r="D88" s="8" t="s">
        <v>2</v>
      </c>
      <c r="F88" s="15" t="s">
        <v>460</v>
      </c>
      <c r="G88" s="26"/>
      <c r="H88" s="26"/>
      <c r="I88" s="26"/>
      <c r="J88" s="26"/>
      <c r="K88" s="26"/>
      <c r="L88" t="s">
        <v>710</v>
      </c>
      <c r="M88" s="5">
        <f>IF(O88&gt;0,O88,DATE(YEAR,November,1+7*_3rd_weekday_occurrence)-WEEKDAY(DATE(YEAR,November,8-Thursday)))</f>
        <v>45617</v>
      </c>
      <c r="N88" s="41"/>
    </row>
    <row r="89" spans="2:14" ht="15" customHeight="1" x14ac:dyDescent="0.25">
      <c r="B89" s="4">
        <v>1118</v>
      </c>
      <c r="C89" t="s">
        <v>210</v>
      </c>
      <c r="D89" s="8" t="s">
        <v>2</v>
      </c>
      <c r="E89" s="8" t="s">
        <v>225</v>
      </c>
      <c r="F89" s="42" t="s">
        <v>209</v>
      </c>
      <c r="G89" s="26"/>
      <c r="H89" s="26"/>
      <c r="I89" s="26"/>
      <c r="J89" s="26"/>
      <c r="K89" s="26"/>
      <c r="L89" t="s">
        <v>709</v>
      </c>
      <c r="M89" s="5">
        <f>IF(O89&gt;0,O89,DATE(YEAR,November,1+7*_3rd_weekday_occurrence)-WEEKDAY(DATE(YEAR,November,8-Thursday)))</f>
        <v>45617</v>
      </c>
      <c r="N89" s="41"/>
    </row>
    <row r="90" spans="2:14" ht="15" customHeight="1" x14ac:dyDescent="0.25">
      <c r="B90" s="4">
        <v>1978</v>
      </c>
      <c r="C90" t="s">
        <v>211</v>
      </c>
      <c r="D90" s="8" t="s">
        <v>2</v>
      </c>
      <c r="E90" s="8" t="s">
        <v>225</v>
      </c>
      <c r="F90" s="42" t="s">
        <v>212</v>
      </c>
      <c r="G90" s="26"/>
      <c r="H90" s="26"/>
      <c r="I90" s="26"/>
      <c r="J90" s="26"/>
      <c r="K90" s="26"/>
      <c r="L90" s="51" t="s">
        <v>708</v>
      </c>
      <c r="M90" s="5">
        <f>IF(O90&gt;0,O90,DATE(YEAR,November,1+7*_4th_weekday_occurrence)-WEEKDAY(DATE(YEAR,November,8-Tuesday)))</f>
        <v>45622</v>
      </c>
      <c r="N90" s="41"/>
    </row>
    <row r="91" spans="2:14" ht="15" customHeight="1" x14ac:dyDescent="0.25">
      <c r="B91" s="4" t="s">
        <v>138</v>
      </c>
      <c r="C91" t="s">
        <v>139</v>
      </c>
      <c r="D91" s="8" t="s">
        <v>2</v>
      </c>
      <c r="F91" s="15" t="s">
        <v>523</v>
      </c>
      <c r="L91" s="51" t="s">
        <v>673</v>
      </c>
      <c r="M91" s="5">
        <f>IF(O91&gt;0,O91,DATE(YEAR,November,1+7*_4th_weekday_occurrence)-WEEKDAY(DATE(YEAR,November,8-Tuesday)))</f>
        <v>45622</v>
      </c>
    </row>
    <row r="92" spans="2:14" ht="15" customHeight="1" x14ac:dyDescent="0.25">
      <c r="B92" s="4">
        <v>7</v>
      </c>
      <c r="C92" t="s">
        <v>42</v>
      </c>
      <c r="D92" s="8" t="s">
        <v>2</v>
      </c>
      <c r="F92" t="s">
        <v>439</v>
      </c>
      <c r="L92" s="42" t="s">
        <v>710</v>
      </c>
      <c r="M92" s="5">
        <f>IF(O92&gt;0,O92,DATE(YEAR,December,1-7+7*_1st_weekday_occurrence)-WEEKDAY(DATE(YEAR,December,8-Thursday)))</f>
        <v>45624</v>
      </c>
      <c r="N92" s="41"/>
    </row>
    <row r="93" spans="2:14" ht="15" customHeight="1" x14ac:dyDescent="0.25">
      <c r="B93" s="4">
        <v>197</v>
      </c>
      <c r="C93" t="s">
        <v>213</v>
      </c>
      <c r="D93" s="8" t="s">
        <v>2</v>
      </c>
      <c r="E93" s="8" t="s">
        <v>225</v>
      </c>
      <c r="F93" s="42" t="s">
        <v>214</v>
      </c>
      <c r="G93" s="26"/>
      <c r="H93" s="26"/>
      <c r="I93" s="26"/>
      <c r="J93" s="26"/>
      <c r="K93" s="26"/>
      <c r="L93" s="26" t="s">
        <v>672</v>
      </c>
      <c r="M93" s="44">
        <f>IF(O93&gt;0,O93,DATE(YEAR,November,1+7*_4th_weekday_occurrence)-WEEKDAY(DATE(YEAR,November,8-Thursday)))</f>
        <v>45624</v>
      </c>
      <c r="N93" s="41"/>
    </row>
    <row r="94" spans="2:14" ht="15" customHeight="1" x14ac:dyDescent="0.25">
      <c r="B94" s="4">
        <v>828</v>
      </c>
      <c r="C94" t="s">
        <v>111</v>
      </c>
      <c r="D94" s="8" t="s">
        <v>2</v>
      </c>
      <c r="F94" s="14" t="s">
        <v>479</v>
      </c>
      <c r="G94" s="26"/>
      <c r="H94" s="26"/>
      <c r="I94" s="26"/>
      <c r="J94" s="26"/>
      <c r="K94" s="26"/>
      <c r="L94" t="s">
        <v>709</v>
      </c>
      <c r="M94" s="5">
        <f>IF(O94&gt;0,O94,DATE(YEAR,November,1+7*_4th_weekday_occurrence)-WEEKDAY(DATE(YEAR,November,8-Thursday)))</f>
        <v>45624</v>
      </c>
      <c r="N94" s="41"/>
    </row>
    <row r="95" spans="2:14" ht="15" customHeight="1" x14ac:dyDescent="0.25">
      <c r="B95" s="4">
        <v>234</v>
      </c>
      <c r="C95" t="s">
        <v>104</v>
      </c>
      <c r="D95" s="8" t="s">
        <v>2</v>
      </c>
      <c r="F95" s="15" t="s">
        <v>450</v>
      </c>
      <c r="G95" s="26"/>
      <c r="H95" s="26"/>
      <c r="I95" s="26"/>
      <c r="J95" s="26"/>
      <c r="K95" s="26"/>
      <c r="L95" s="26" t="s">
        <v>672</v>
      </c>
      <c r="M95" s="44">
        <f>IF(O95&gt;0,O95,DATE(YEAR,December,1+7*_1st_weekday_occurrence)-WEEKDAY(DATE(YEAR,December,8-Monday)))</f>
        <v>45628</v>
      </c>
      <c r="N95" s="41"/>
    </row>
    <row r="96" spans="2:14" ht="15" customHeight="1" x14ac:dyDescent="0.25">
      <c r="B96" s="4">
        <v>1363</v>
      </c>
      <c r="C96" t="s">
        <v>28</v>
      </c>
      <c r="D96" s="8" t="s">
        <v>2</v>
      </c>
      <c r="F96" s="14" t="s">
        <v>450</v>
      </c>
      <c r="G96" s="26"/>
      <c r="H96" s="26"/>
      <c r="I96" s="26"/>
      <c r="J96" s="26"/>
      <c r="K96" s="26"/>
      <c r="L96" s="5" t="s">
        <v>710</v>
      </c>
      <c r="M96" s="5">
        <f>IF(O96&gt;0,O96,DATE(YEAR,December,1+7*_1st_weekday_occurrence)-WEEKDAY(DATE(YEAR,December,8-Monday)))</f>
        <v>45628</v>
      </c>
      <c r="N96" s="41"/>
    </row>
    <row r="97" spans="2:14" ht="15" customHeight="1" x14ac:dyDescent="0.25">
      <c r="B97" s="4">
        <v>748</v>
      </c>
      <c r="C97" t="s">
        <v>153</v>
      </c>
      <c r="D97" s="8" t="s">
        <v>2</v>
      </c>
      <c r="F97" s="14" t="s">
        <v>475</v>
      </c>
      <c r="G97" s="26"/>
      <c r="H97" s="26"/>
      <c r="I97" s="26"/>
      <c r="J97" s="26"/>
      <c r="K97" s="26"/>
      <c r="L97" s="42" t="s">
        <v>673</v>
      </c>
      <c r="M97" s="5">
        <f>IF(O97&gt;0,O97,DATE(YEAR,December,1+7*_1st_weekday_occurrence)-WEEKDAY(DATE(YEAR,December,8-Tuesday)))</f>
        <v>45629</v>
      </c>
      <c r="N97" s="41"/>
    </row>
    <row r="98" spans="2:14" ht="15" customHeight="1" x14ac:dyDescent="0.25">
      <c r="B98" s="4">
        <v>897</v>
      </c>
      <c r="C98" t="s">
        <v>167</v>
      </c>
      <c r="D98" s="8" t="s">
        <v>2</v>
      </c>
      <c r="F98" s="14" t="s">
        <v>475</v>
      </c>
      <c r="G98" s="26"/>
      <c r="H98" s="26"/>
      <c r="I98" s="26"/>
      <c r="J98" s="26"/>
      <c r="K98" s="26"/>
      <c r="L98" s="5" t="s">
        <v>710</v>
      </c>
      <c r="M98" s="5">
        <f>IF(O98&gt;0,O98,DATE(YEAR,December,1+7*_1st_weekday_occurrence)-WEEKDAY(DATE(YEAR,December,8-Tuesday)))</f>
        <v>45629</v>
      </c>
      <c r="N98" s="41"/>
    </row>
    <row r="99" spans="2:14" ht="15" customHeight="1" x14ac:dyDescent="0.25">
      <c r="B99" s="4">
        <v>1160</v>
      </c>
      <c r="C99" t="s">
        <v>78</v>
      </c>
      <c r="D99" s="8" t="s">
        <v>2</v>
      </c>
      <c r="F99" s="15" t="s">
        <v>495</v>
      </c>
      <c r="G99" s="26"/>
      <c r="H99" s="26"/>
      <c r="I99" s="26"/>
      <c r="J99" s="26"/>
      <c r="K99" s="26"/>
      <c r="L99" t="s">
        <v>693</v>
      </c>
      <c r="M99" s="5">
        <f>IF(O99&gt;0,O99,DATE(YEAR,December,1+7*_1st_weekday_occurrence)-WEEKDAY(DATE(YEAR,December,8-Thursday)))</f>
        <v>45631</v>
      </c>
      <c r="N99" s="41"/>
    </row>
    <row r="100" spans="2:14" ht="15" customHeight="1" x14ac:dyDescent="0.25">
      <c r="B100" s="4">
        <v>728</v>
      </c>
      <c r="C100" t="s">
        <v>86</v>
      </c>
      <c r="D100" s="8" t="s">
        <v>2</v>
      </c>
      <c r="F100" s="15" t="s">
        <v>474</v>
      </c>
      <c r="G100" s="26"/>
      <c r="H100" s="26"/>
      <c r="I100" s="26"/>
      <c r="J100" s="26"/>
      <c r="K100" s="26"/>
      <c r="L100" t="s">
        <v>708</v>
      </c>
      <c r="M100" s="5">
        <f>IF(O100&gt;0,O100,DATE(YEAR,December,1+7*_1st_weekday_occurrence)-WEEKDAY(DATE(YEAR,December,8-Friday)))</f>
        <v>45632</v>
      </c>
      <c r="N100" s="41"/>
    </row>
    <row r="101" spans="2:14" ht="15" customHeight="1" x14ac:dyDescent="0.25">
      <c r="B101" s="4">
        <v>1909</v>
      </c>
      <c r="C101" t="s">
        <v>102</v>
      </c>
      <c r="D101" s="8" t="s">
        <v>2</v>
      </c>
      <c r="F101" s="15" t="s">
        <v>514</v>
      </c>
      <c r="G101" s="26"/>
      <c r="H101" s="26"/>
      <c r="I101" s="26"/>
      <c r="J101" s="26"/>
      <c r="K101" s="26"/>
      <c r="L101" s="5" t="s">
        <v>710</v>
      </c>
      <c r="M101" s="5">
        <f>IF(O101&gt;0,O101,DATE(YEAR,December,1+7*_1st_weekday_occurrence)-WEEKDAY(DATE(YEAR,December,8-Saturday)))</f>
        <v>45633</v>
      </c>
      <c r="N101" s="41"/>
    </row>
    <row r="102" spans="2:14" ht="15" customHeight="1" x14ac:dyDescent="0.25">
      <c r="B102" s="4">
        <v>469</v>
      </c>
      <c r="C102" t="s">
        <v>216</v>
      </c>
      <c r="D102" s="8" t="s">
        <v>2</v>
      </c>
      <c r="E102" s="8" t="s">
        <v>225</v>
      </c>
      <c r="F102" s="42" t="s">
        <v>217</v>
      </c>
      <c r="G102" s="26"/>
      <c r="H102" s="26"/>
      <c r="I102" s="26"/>
      <c r="J102" s="26"/>
      <c r="K102" s="26"/>
      <c r="L102" t="s">
        <v>708</v>
      </c>
      <c r="M102" s="5">
        <f>IF(O102&gt;0,O102,DATE(YEAR,December,1+7*_2nd_weekday_occurrence)-WEEKDAY(DATE(YEAR,December,8-Wednesday)))</f>
        <v>45637</v>
      </c>
      <c r="N102" s="41"/>
    </row>
    <row r="103" spans="2:14" ht="15" customHeight="1" x14ac:dyDescent="0.25">
      <c r="B103" s="4">
        <v>1638</v>
      </c>
      <c r="C103" t="s">
        <v>75</v>
      </c>
      <c r="D103" s="8" t="s">
        <v>2</v>
      </c>
      <c r="F103" s="15" t="s">
        <v>217</v>
      </c>
      <c r="G103" s="26"/>
      <c r="H103" s="26"/>
      <c r="I103" s="26"/>
      <c r="J103" s="26"/>
      <c r="K103" s="26"/>
      <c r="L103" t="s">
        <v>672</v>
      </c>
      <c r="M103" s="44">
        <f>IF(O103&gt;0,O103,DATE(YEAR,December,1+7*_2nd_weekday_occurrence)-WEEKDAY(DATE(YEAR,December,8-Wednesday)))</f>
        <v>45637</v>
      </c>
      <c r="N103" s="41"/>
    </row>
    <row r="104" spans="2:14" ht="15" customHeight="1" x14ac:dyDescent="0.25">
      <c r="B104" s="4">
        <v>802</v>
      </c>
      <c r="C104" t="s">
        <v>169</v>
      </c>
      <c r="D104" s="8" t="s">
        <v>2</v>
      </c>
      <c r="F104" s="15" t="s">
        <v>477</v>
      </c>
      <c r="G104" s="26"/>
      <c r="H104" s="26"/>
      <c r="I104" s="26"/>
      <c r="J104" s="26"/>
      <c r="K104" s="26"/>
      <c r="L104" s="42" t="s">
        <v>709</v>
      </c>
      <c r="M104" s="5">
        <f>IF(O104&gt;0,O104,DATE(YEAR,December,1+7*_2nd_weekday_occurrence)-WEEKDAY(DATE(YEAR,December,8-Thursday)))</f>
        <v>45638</v>
      </c>
      <c r="N104" s="41"/>
    </row>
    <row r="105" spans="2:14" ht="15" customHeight="1" x14ac:dyDescent="0.25">
      <c r="B105" s="4">
        <v>1389</v>
      </c>
      <c r="C105" t="s">
        <v>218</v>
      </c>
      <c r="D105" s="8" t="s">
        <v>2</v>
      </c>
      <c r="E105" s="8" t="s">
        <v>225</v>
      </c>
      <c r="F105" s="42" t="s">
        <v>219</v>
      </c>
      <c r="G105" s="26"/>
      <c r="H105" s="26"/>
      <c r="I105" s="26"/>
      <c r="J105" s="26"/>
      <c r="K105" s="26"/>
      <c r="L105" s="42" t="s">
        <v>709</v>
      </c>
      <c r="M105" s="5">
        <f>IF(O105&gt;0,O105,DATE(YEAR,December,1+7*_2nd_weekday_occurrence)-WEEKDAY(DATE(YEAR,December,8-Thursday)))</f>
        <v>45638</v>
      </c>
      <c r="N105" s="41"/>
    </row>
    <row r="106" spans="2:14" ht="15" customHeight="1" x14ac:dyDescent="0.25">
      <c r="B106" s="4">
        <v>433</v>
      </c>
      <c r="C106" t="s">
        <v>220</v>
      </c>
      <c r="D106" s="8" t="s">
        <v>2</v>
      </c>
      <c r="E106" s="8" t="s">
        <v>225</v>
      </c>
      <c r="F106" s="42" t="s">
        <v>221</v>
      </c>
      <c r="G106" s="26"/>
      <c r="H106" s="26"/>
      <c r="I106" s="26"/>
      <c r="J106" s="26"/>
      <c r="K106" s="26"/>
      <c r="L106" s="51" t="s">
        <v>673</v>
      </c>
      <c r="M106" s="5">
        <f>IF(O106&gt;0,O106,DATE(YEAR,December,1+7*_2nd_weekday_occurrence)-WEEKDAY(DATE(YEAR,December,8-Friday)))</f>
        <v>45639</v>
      </c>
      <c r="N106" s="41"/>
    </row>
    <row r="107" spans="2:14" ht="15" customHeight="1" x14ac:dyDescent="0.25">
      <c r="B107" s="4">
        <v>1473</v>
      </c>
      <c r="C107" t="s">
        <v>101</v>
      </c>
      <c r="D107" s="8" t="s">
        <v>2</v>
      </c>
      <c r="F107" s="15" t="s">
        <v>503</v>
      </c>
      <c r="G107" s="26"/>
      <c r="H107" s="26"/>
      <c r="I107" s="26"/>
      <c r="J107" s="26"/>
      <c r="K107" s="26"/>
      <c r="L107" s="26" t="s">
        <v>672</v>
      </c>
      <c r="M107" s="5">
        <f>IF(O107&gt;0,O107,DATE(YEAR,December,1+7*_3rd_weekday_occurrence)-WEEKDAY(DATE(YEAR,December,8-Wednesday)))</f>
        <v>45644</v>
      </c>
      <c r="N107" s="41"/>
    </row>
    <row r="108" spans="2:14" ht="15" customHeight="1" x14ac:dyDescent="0.25">
      <c r="B108" s="4">
        <v>5</v>
      </c>
      <c r="C108" t="s">
        <v>178</v>
      </c>
      <c r="D108" s="8" t="s">
        <v>2</v>
      </c>
      <c r="F108" s="14" t="s">
        <v>437</v>
      </c>
      <c r="L108" t="s">
        <v>708</v>
      </c>
      <c r="M108" s="5">
        <f>IF(O108&gt;0,O108,DATE(YEAR+1,January,1+7*_2nd_weekday_occurrence)-WEEKDAY(DATE(YEAR+1,January,8-Wednesday)))</f>
        <v>45665</v>
      </c>
      <c r="N108" s="41"/>
    </row>
    <row r="109" spans="2:14" ht="15" customHeight="1" x14ac:dyDescent="0.25">
      <c r="B109" s="4">
        <v>647</v>
      </c>
      <c r="C109" t="s">
        <v>4</v>
      </c>
      <c r="D109" s="8" t="s">
        <v>2</v>
      </c>
      <c r="E109" s="8" t="s">
        <v>225</v>
      </c>
      <c r="F109" s="42" t="s">
        <v>5</v>
      </c>
      <c r="G109" s="26"/>
      <c r="H109" s="26"/>
      <c r="I109" s="26"/>
      <c r="J109" s="26"/>
      <c r="K109" s="26"/>
      <c r="L109" t="s">
        <v>693</v>
      </c>
      <c r="M109" s="5">
        <f>IF(O109&gt;0,O109,DATE(YEAR+1,January,1+7*_2nd_weekday_occurrence)-WEEKDAY(DATE(YEAR+1,January,8-Thursday)))</f>
        <v>45666</v>
      </c>
      <c r="N109" s="41"/>
    </row>
    <row r="110" spans="2:14" ht="15" customHeight="1" x14ac:dyDescent="0.25">
      <c r="B110" s="4">
        <v>1313</v>
      </c>
      <c r="C110" t="s">
        <v>152</v>
      </c>
      <c r="D110" s="8" t="s">
        <v>2</v>
      </c>
      <c r="F110" s="14" t="s">
        <v>498</v>
      </c>
      <c r="G110" s="26"/>
      <c r="H110" s="26"/>
      <c r="I110" s="26"/>
      <c r="J110" s="26"/>
      <c r="K110" s="26"/>
      <c r="L110" s="26" t="s">
        <v>672</v>
      </c>
      <c r="M110" s="5">
        <f>IF(O110&gt;0,O110,DATE(YEAR+1,January,1+7*_2nd_weekday_occurrence)-WEEKDAY(DATE(YEAR+1,January,8-Thursday)))</f>
        <v>45666</v>
      </c>
      <c r="N110" s="41"/>
    </row>
    <row r="111" spans="2:14" ht="15" customHeight="1" x14ac:dyDescent="0.25">
      <c r="B111" s="4">
        <v>1953</v>
      </c>
      <c r="C111" t="s">
        <v>148</v>
      </c>
      <c r="D111" s="8" t="s">
        <v>2</v>
      </c>
      <c r="F111" s="15" t="s">
        <v>515</v>
      </c>
      <c r="G111" s="26"/>
      <c r="H111" s="26"/>
      <c r="I111" s="26"/>
      <c r="J111" s="26"/>
      <c r="K111" s="26"/>
      <c r="L111" s="5" t="s">
        <v>693</v>
      </c>
      <c r="M111" s="5">
        <f>IF(O111&gt;0,O111,DATE(YEAR+1,January,1+7*_2nd_weekday_occurrence)-WEEKDAY(DATE(YEAR+1,January,8-Saturday)))</f>
        <v>45668</v>
      </c>
      <c r="N111" s="41"/>
    </row>
    <row r="112" spans="2:14" ht="15" customHeight="1" x14ac:dyDescent="0.25">
      <c r="B112" s="4">
        <v>2022</v>
      </c>
      <c r="C112" t="s">
        <v>163</v>
      </c>
      <c r="D112" s="8" t="s">
        <v>2</v>
      </c>
      <c r="F112" s="14" t="s">
        <v>515</v>
      </c>
      <c r="G112" s="26"/>
      <c r="H112" s="26"/>
      <c r="I112" s="26"/>
      <c r="J112" s="26"/>
      <c r="K112" s="26"/>
      <c r="L112" s="5" t="s">
        <v>710</v>
      </c>
      <c r="M112" s="5">
        <f>IF(O112&gt;0,O112,DATE(YEAR+1,January,1+7*_2nd_weekday_occurrence)-WEEKDAY(DATE(YEAR+1,January,8-Saturday)))</f>
        <v>45668</v>
      </c>
    </row>
    <row r="113" spans="2:14" ht="15" customHeight="1" x14ac:dyDescent="0.25">
      <c r="B113" s="4">
        <v>801</v>
      </c>
      <c r="C113" t="s">
        <v>6</v>
      </c>
      <c r="D113" s="8" t="s">
        <v>2</v>
      </c>
      <c r="E113" s="8" t="s">
        <v>225</v>
      </c>
      <c r="F113" s="42" t="s">
        <v>7</v>
      </c>
      <c r="G113" s="26"/>
      <c r="H113" s="26"/>
      <c r="I113" s="26"/>
      <c r="J113" s="26"/>
      <c r="K113" s="26"/>
      <c r="L113" s="42" t="s">
        <v>708</v>
      </c>
      <c r="M113" s="5">
        <f>IF(O113&gt;0,O113,DATE(YEAR+1,January,1+7*_2nd_weekday_occurrence)-WEEKDAY(DATE(YEAR+1,January,8-Monday)))</f>
        <v>45670</v>
      </c>
      <c r="N113" s="41"/>
    </row>
    <row r="114" spans="2:14" ht="15" customHeight="1" x14ac:dyDescent="0.25">
      <c r="B114" s="4">
        <v>239</v>
      </c>
      <c r="C114" t="s">
        <v>12</v>
      </c>
      <c r="D114" s="8" t="s">
        <v>2</v>
      </c>
      <c r="E114" s="8" t="s">
        <v>225</v>
      </c>
      <c r="F114" s="42" t="s">
        <v>13</v>
      </c>
      <c r="G114" s="26"/>
      <c r="H114" s="26"/>
      <c r="I114" s="26"/>
      <c r="J114" s="26"/>
      <c r="K114" s="26"/>
      <c r="L114" s="51" t="s">
        <v>673</v>
      </c>
      <c r="M114" s="44">
        <f>IF(O114&gt;0,O114,DATE(YEAR+1,January,1+7*_3rd_weekday_occurrence)-WEEKDAY(DATE(YEAR+1,January,8-Thursday)))</f>
        <v>45673</v>
      </c>
      <c r="N114" s="41"/>
    </row>
    <row r="115" spans="2:14" ht="15" customHeight="1" x14ac:dyDescent="0.25">
      <c r="B115" s="4">
        <v>1118</v>
      </c>
      <c r="C115" t="s">
        <v>210</v>
      </c>
      <c r="D115" s="8" t="s">
        <v>2</v>
      </c>
      <c r="F115" s="14" t="s">
        <v>490</v>
      </c>
      <c r="G115" s="26"/>
      <c r="H115" s="26"/>
      <c r="I115" s="26"/>
      <c r="J115" s="26"/>
      <c r="K115" s="26"/>
      <c r="L115" t="s">
        <v>709</v>
      </c>
      <c r="M115" s="5">
        <f>IF(O115&gt;0,O115,DATE(YEAR+1,January,1+7*_3rd_weekday_occurrence)-WEEKDAY(DATE(YEAR+1,January,8-Thursday)))</f>
        <v>45673</v>
      </c>
      <c r="N115" s="41"/>
    </row>
    <row r="116" spans="2:14" ht="15" customHeight="1" x14ac:dyDescent="0.25">
      <c r="B116" s="4">
        <v>399</v>
      </c>
      <c r="C116" t="s">
        <v>18</v>
      </c>
      <c r="D116" s="8" t="s">
        <v>2</v>
      </c>
      <c r="E116" s="8" t="s">
        <v>225</v>
      </c>
      <c r="F116" s="42" t="s">
        <v>19</v>
      </c>
      <c r="G116" s="26"/>
      <c r="H116" s="26"/>
      <c r="I116" s="26"/>
      <c r="J116" s="26"/>
      <c r="K116" s="26"/>
      <c r="L116" s="26" t="s">
        <v>672</v>
      </c>
      <c r="M116" s="5">
        <f>IF(O116&gt;0,O116,DATE(YEAR+1,January,1+7*_3rd_weekday_occurrence)-WEEKDAY(DATE(YEAR+1,January,8-Friday)))</f>
        <v>45674</v>
      </c>
      <c r="N116" s="41"/>
    </row>
    <row r="117" spans="2:14" ht="15" customHeight="1" x14ac:dyDescent="0.25">
      <c r="B117" s="4">
        <v>1748</v>
      </c>
      <c r="C117" t="s">
        <v>23</v>
      </c>
      <c r="D117" s="8" t="s">
        <v>2</v>
      </c>
      <c r="E117" s="8" t="s">
        <v>225</v>
      </c>
      <c r="F117" s="42" t="s">
        <v>24</v>
      </c>
      <c r="G117" s="26"/>
      <c r="H117" s="26"/>
      <c r="I117" s="26"/>
      <c r="J117" s="26"/>
      <c r="K117" s="26"/>
      <c r="L117" s="42" t="s">
        <v>709</v>
      </c>
      <c r="M117" s="5">
        <f>IF(O117&gt;0,O117,DATE(YEAR+1,January,1+7*_3rd_weekday_occurrence)-WEEKDAY(DATE(YEAR+1,January,8-Tuesday)))</f>
        <v>45678</v>
      </c>
      <c r="N117" s="41"/>
    </row>
    <row r="118" spans="2:14" ht="15" customHeight="1" x14ac:dyDescent="0.25">
      <c r="B118" s="4">
        <v>569</v>
      </c>
      <c r="C118" t="s">
        <v>99</v>
      </c>
      <c r="D118" s="8" t="s">
        <v>2</v>
      </c>
      <c r="F118" s="14" t="s">
        <v>467</v>
      </c>
      <c r="G118" s="26"/>
      <c r="H118" s="26"/>
      <c r="I118" s="26"/>
      <c r="J118" s="26"/>
      <c r="K118" s="26"/>
      <c r="L118" s="26" t="s">
        <v>672</v>
      </c>
      <c r="M118" s="5">
        <f>IF(O118&gt;0,O118,DATE(YEAR+1,January,1+7*_4th_weekday_occurrence)-WEEKDAY(DATE(YEAR+1,January,8-Thursday)))</f>
        <v>45680</v>
      </c>
      <c r="N118" s="41"/>
    </row>
    <row r="119" spans="2:14" ht="15" customHeight="1" x14ac:dyDescent="0.25">
      <c r="B119" s="4">
        <v>828</v>
      </c>
      <c r="C119" t="s">
        <v>111</v>
      </c>
      <c r="D119" s="8" t="s">
        <v>2</v>
      </c>
      <c r="F119" s="14" t="s">
        <v>467</v>
      </c>
      <c r="G119" s="26"/>
      <c r="H119" s="26"/>
      <c r="I119" s="26"/>
      <c r="J119" s="26"/>
      <c r="K119" s="26"/>
      <c r="L119" t="s">
        <v>709</v>
      </c>
      <c r="M119" s="5">
        <f>IF(O119&gt;0,O119,DATE(YEAR+1,January,1+7*_4th_weekday_occurrence)-WEEKDAY(DATE(YEAR+1,January,8-Thursday)))</f>
        <v>45680</v>
      </c>
      <c r="N119" s="41"/>
    </row>
    <row r="120" spans="2:14" ht="15" customHeight="1" x14ac:dyDescent="0.25">
      <c r="B120" s="4">
        <v>8</v>
      </c>
      <c r="C120" t="s">
        <v>180</v>
      </c>
      <c r="D120" s="8" t="s">
        <v>2</v>
      </c>
      <c r="F120" s="15" t="s">
        <v>29</v>
      </c>
      <c r="L120" t="s">
        <v>693</v>
      </c>
      <c r="M120" s="5">
        <f>IF(O120&gt;0,O120,DATE(YEAR+1,January,1+7*_4th_weekday_occurrence)-WEEKDAY(DATE(YEAR+1,January,8-Friday)))</f>
        <v>45681</v>
      </c>
      <c r="N120" s="41"/>
    </row>
    <row r="121" spans="2:14" ht="15" customHeight="1" x14ac:dyDescent="0.25">
      <c r="B121" s="4">
        <v>1363</v>
      </c>
      <c r="C121" t="s">
        <v>28</v>
      </c>
      <c r="D121" s="8" t="s">
        <v>2</v>
      </c>
      <c r="E121" s="8" t="s">
        <v>225</v>
      </c>
      <c r="F121" s="42" t="s">
        <v>29</v>
      </c>
      <c r="G121" s="26"/>
      <c r="H121" s="26"/>
      <c r="I121" s="26"/>
      <c r="J121" s="26"/>
      <c r="K121" s="26"/>
      <c r="L121" s="5" t="s">
        <v>710</v>
      </c>
      <c r="M121" s="5">
        <f>IF(O121&gt;0,O121,DATE(YEAR+1,January,1+7*_4th_weekday_occurrence)-WEEKDAY(DATE(YEAR+1,January,8-Friday)))</f>
        <v>45681</v>
      </c>
      <c r="N121" s="41"/>
    </row>
    <row r="122" spans="2:14" ht="15" customHeight="1" x14ac:dyDescent="0.25">
      <c r="B122" s="4">
        <v>385</v>
      </c>
      <c r="C122" t="s">
        <v>33</v>
      </c>
      <c r="D122" s="8" t="s">
        <v>2</v>
      </c>
      <c r="E122" s="8" t="s">
        <v>225</v>
      </c>
      <c r="F122" s="42" t="s">
        <v>34</v>
      </c>
      <c r="G122" s="26"/>
      <c r="H122" s="26"/>
      <c r="I122" s="26"/>
      <c r="J122" s="26"/>
      <c r="K122" s="26"/>
      <c r="L122" t="s">
        <v>708</v>
      </c>
      <c r="M122" s="5">
        <f>IF(O122&gt;0,O122,DATE(YEAR+1,January,1+7*_4th_weekday_occurrence)-WEEKDAY(DATE(YEAR+1,January,8-Tuesday)))</f>
        <v>45685</v>
      </c>
      <c r="N122" s="41"/>
    </row>
    <row r="123" spans="2:14" ht="15" customHeight="1" x14ac:dyDescent="0.25">
      <c r="B123" s="4">
        <v>742</v>
      </c>
      <c r="C123" t="s">
        <v>97</v>
      </c>
      <c r="D123" s="8" t="s">
        <v>2</v>
      </c>
      <c r="F123" s="14" t="s">
        <v>34</v>
      </c>
      <c r="G123" s="26"/>
      <c r="H123" s="26"/>
      <c r="I123" s="26"/>
      <c r="J123" s="26"/>
      <c r="K123" s="26"/>
      <c r="L123" s="42" t="s">
        <v>709</v>
      </c>
      <c r="M123" s="5">
        <f>IF(O123&gt;0,O123,DATE(YEAR+1,January,1+7*_4th_weekday_occurrence)-WEEKDAY(DATE(YEAR+1,January,8-Tuesday)))</f>
        <v>45685</v>
      </c>
      <c r="N123" s="41"/>
    </row>
    <row r="124" spans="2:14" ht="15" customHeight="1" x14ac:dyDescent="0.25">
      <c r="B124" s="4">
        <v>104</v>
      </c>
      <c r="C124" t="s">
        <v>195</v>
      </c>
      <c r="D124" s="8" t="s">
        <v>2</v>
      </c>
      <c r="F124" t="s">
        <v>533</v>
      </c>
      <c r="G124" s="5">
        <f>DATE(YEAR+1,January,1+7*_5th_weekday_occurrence)-WEEKDAY(DATE(YEAR+1,January,8-Monday))</f>
        <v>45691</v>
      </c>
      <c r="H124" s="5">
        <f>DATE(YEAR+1,January,1+7*_5th_weekday_occurrence)-WEEKDAY(DATE(YEAR+1,January,8-Tuesday))</f>
        <v>45692</v>
      </c>
      <c r="I124" s="5">
        <f>DATE(YEAR+1,January,1+7*_5th_weekday_occurrence)-WEEKDAY(DATE(YEAR+1,January,8-Wednesday))</f>
        <v>45686</v>
      </c>
      <c r="J124" s="5">
        <f>DATE(YEAR+1,January,1+7*_5th_weekday_occurrence)-WEEKDAY(DATE(YEAR+1,January,8-Thursday))</f>
        <v>45687</v>
      </c>
      <c r="K124" s="5">
        <f>DATE(YEAR+1,January,1+7*_5th_weekday_occurrence)-WEEKDAY(DATE(YEAR+1,January,8-Friday))</f>
        <v>45688</v>
      </c>
      <c r="L124" s="5" t="s">
        <v>710</v>
      </c>
      <c r="M124" s="5">
        <f>IF(O124&gt;0,O124,SMALL(G124:K124,COUNTIF(G124:K124,0)+1))</f>
        <v>45686</v>
      </c>
      <c r="N124" s="41"/>
    </row>
    <row r="125" spans="2:14" ht="15" customHeight="1" x14ac:dyDescent="0.25">
      <c r="B125" s="4">
        <v>176</v>
      </c>
      <c r="C125" t="s">
        <v>188</v>
      </c>
      <c r="D125" s="8" t="s">
        <v>2</v>
      </c>
      <c r="F125" s="14" t="s">
        <v>445</v>
      </c>
      <c r="G125" s="26"/>
      <c r="H125" s="26"/>
      <c r="I125" s="26"/>
      <c r="J125" s="26"/>
      <c r="K125" s="26"/>
      <c r="L125" s="5" t="s">
        <v>709</v>
      </c>
      <c r="M125" s="44">
        <f>IF(O125&gt;0,O125,DATE(YEAR+1,February,1+7*_1st_weekday_occurrence)-WEEKDAY(DATE(YEAR+1,February,8-Saturday)))</f>
        <v>45689</v>
      </c>
      <c r="N125" s="41"/>
    </row>
    <row r="126" spans="2:14" ht="15" customHeight="1" x14ac:dyDescent="0.25">
      <c r="B126" s="4">
        <v>4</v>
      </c>
      <c r="C126" t="s">
        <v>123</v>
      </c>
      <c r="D126" s="8" t="s">
        <v>2</v>
      </c>
      <c r="F126" s="14" t="s">
        <v>435</v>
      </c>
      <c r="L126" t="s">
        <v>708</v>
      </c>
      <c r="M126" s="5">
        <f>IF(O126&gt;0,O126,DATE(YEAR+1,February,1+7*_1st_weekday_occurrence)-WEEKDAY(DATE(YEAR+1,February,8-Monday)))</f>
        <v>45691</v>
      </c>
      <c r="N126" s="41"/>
    </row>
    <row r="127" spans="2:14" ht="15" customHeight="1" x14ac:dyDescent="0.25">
      <c r="B127" s="4">
        <v>1074</v>
      </c>
      <c r="C127" t="s">
        <v>109</v>
      </c>
      <c r="D127" s="8" t="s">
        <v>2</v>
      </c>
      <c r="F127" s="15" t="s">
        <v>487</v>
      </c>
      <c r="G127" s="26"/>
      <c r="H127" s="26"/>
      <c r="I127" s="26"/>
      <c r="J127" s="26"/>
      <c r="K127" s="26"/>
      <c r="L127" t="s">
        <v>693</v>
      </c>
      <c r="M127" s="5">
        <f>IF(O127&gt;0,O127,DATE(YEAR+1,February,1+7*_1st_weekday_occurrence)-WEEKDAY(DATE(YEAR+1,February,8-Wednesday)))</f>
        <v>45693</v>
      </c>
      <c r="N127" s="41"/>
    </row>
    <row r="128" spans="2:14" ht="15" customHeight="1" x14ac:dyDescent="0.25">
      <c r="B128" s="4">
        <v>315</v>
      </c>
      <c r="C128" t="s">
        <v>197</v>
      </c>
      <c r="D128" s="8" t="s">
        <v>2</v>
      </c>
      <c r="F128" s="14" t="s">
        <v>39</v>
      </c>
      <c r="G128" s="26"/>
      <c r="H128" s="26"/>
      <c r="I128" s="26"/>
      <c r="J128" s="26"/>
      <c r="K128" s="26"/>
      <c r="L128" t="s">
        <v>708</v>
      </c>
      <c r="M128" s="44">
        <f>IF(O128&gt;0,O128,DATE(YEAR+1,February,1+7*_1st_weekday_occurrence)-WEEKDAY(DATE(YEAR+1,February,8-Friday)))</f>
        <v>45695</v>
      </c>
      <c r="N128" s="41"/>
    </row>
    <row r="129" spans="2:14" ht="15" customHeight="1" x14ac:dyDescent="0.25">
      <c r="B129" s="4">
        <v>577</v>
      </c>
      <c r="C129" t="s">
        <v>38</v>
      </c>
      <c r="D129" s="8" t="s">
        <v>2</v>
      </c>
      <c r="E129" s="8" t="s">
        <v>225</v>
      </c>
      <c r="F129" s="42" t="s">
        <v>39</v>
      </c>
      <c r="G129" s="26"/>
      <c r="H129" s="26"/>
      <c r="I129" s="26"/>
      <c r="J129" s="26"/>
      <c r="K129" s="26"/>
      <c r="L129" t="s">
        <v>709</v>
      </c>
      <c r="M129" s="5">
        <f>IF(O129&gt;0,O129,DATE(YEAR+1,February,1+7*_1st_weekday_occurrence)-WEEKDAY(DATE(YEAR+1,February,8-Friday)))</f>
        <v>45695</v>
      </c>
      <c r="N129" s="41"/>
    </row>
    <row r="130" spans="2:14" ht="15" customHeight="1" x14ac:dyDescent="0.25">
      <c r="B130" s="4">
        <v>616</v>
      </c>
      <c r="C130" t="s">
        <v>42</v>
      </c>
      <c r="D130" s="8" t="s">
        <v>2</v>
      </c>
      <c r="E130" s="8" t="s">
        <v>225</v>
      </c>
      <c r="F130" s="42" t="s">
        <v>43</v>
      </c>
      <c r="G130" s="26"/>
      <c r="H130" s="26"/>
      <c r="I130" s="26"/>
      <c r="J130" s="26"/>
      <c r="K130" s="26"/>
      <c r="L130" s="51" t="s">
        <v>673</v>
      </c>
      <c r="M130" s="5">
        <f>IF(O130&gt;0,O130,DATE(YEAR+1,February,1+7*_2nd_weekday_occurrence)-WEEKDAY(DATE(YEAR+1,February,8-Saturday)))</f>
        <v>45696</v>
      </c>
      <c r="N130" s="41"/>
    </row>
    <row r="131" spans="2:14" ht="15" customHeight="1" x14ac:dyDescent="0.25">
      <c r="B131" s="4">
        <v>1997</v>
      </c>
      <c r="C131" t="s">
        <v>676</v>
      </c>
      <c r="D131" s="8" t="s">
        <v>2</v>
      </c>
      <c r="F131" s="15" t="s">
        <v>43</v>
      </c>
      <c r="G131" s="26"/>
      <c r="H131" s="26"/>
      <c r="I131" s="26"/>
      <c r="J131" s="26"/>
      <c r="K131" s="26"/>
      <c r="L131" t="s">
        <v>708</v>
      </c>
      <c r="M131" s="5">
        <f>IF(O131&gt;0,O131,DATE(YEAR+1,February,1+7*_2nd_weekday_occurrence)-WEEKDAY(DATE(YEAR+1,February,8-Saturday)))</f>
        <v>45696</v>
      </c>
    </row>
    <row r="132" spans="2:14" ht="15" customHeight="1" x14ac:dyDescent="0.25">
      <c r="B132" s="4">
        <v>487</v>
      </c>
      <c r="C132" t="s">
        <v>46</v>
      </c>
      <c r="D132" s="8" t="s">
        <v>2</v>
      </c>
      <c r="E132" s="8" t="s">
        <v>225</v>
      </c>
      <c r="F132" s="42" t="s">
        <v>47</v>
      </c>
      <c r="G132" s="26"/>
      <c r="H132" s="26"/>
      <c r="I132" s="26"/>
      <c r="J132" s="26"/>
      <c r="K132" s="26"/>
      <c r="L132" t="s">
        <v>710</v>
      </c>
      <c r="M132" s="5">
        <f>IF(O132&gt;0,O132,DATE(YEAR+1,February,1+7*_2nd_weekday_occurrence)-WEEKDAY(DATE(YEAR+1,February,8-Monday)))</f>
        <v>45698</v>
      </c>
      <c r="N132" s="41"/>
    </row>
    <row r="133" spans="2:14" ht="15" customHeight="1" x14ac:dyDescent="0.25">
      <c r="B133" s="4">
        <v>489</v>
      </c>
      <c r="C133" t="s">
        <v>202</v>
      </c>
      <c r="D133" s="8" t="s">
        <v>2</v>
      </c>
      <c r="F133" s="15" t="s">
        <v>465</v>
      </c>
      <c r="G133" s="26"/>
      <c r="H133" s="26"/>
      <c r="I133" s="26"/>
      <c r="J133" s="26"/>
      <c r="K133" s="26"/>
      <c r="L133" t="s">
        <v>708</v>
      </c>
      <c r="M133" s="5">
        <f>IF(O133&gt;0,O133,DATE(YEAR+1,February,1+7*_2nd_weekday_occurrence)-WEEKDAY(DATE(YEAR+1,February,8-Tuesday)))</f>
        <v>45699</v>
      </c>
      <c r="N133" s="41"/>
    </row>
    <row r="134" spans="2:14" ht="15" customHeight="1" x14ac:dyDescent="0.25">
      <c r="B134" s="4">
        <v>224</v>
      </c>
      <c r="C134" t="s">
        <v>49</v>
      </c>
      <c r="D134" s="8" t="s">
        <v>2</v>
      </c>
      <c r="E134" s="8" t="s">
        <v>225</v>
      </c>
      <c r="F134" s="42" t="s">
        <v>50</v>
      </c>
      <c r="G134" s="26"/>
      <c r="H134" s="26"/>
      <c r="I134" s="26"/>
      <c r="J134" s="26"/>
      <c r="K134" s="26"/>
      <c r="L134" t="s">
        <v>693</v>
      </c>
      <c r="M134" s="44">
        <f>IF(O134&gt;0,O134,DATE(YEAR+1,February,1+7*_2nd_weekday_occurrence)-WEEKDAY(DATE(YEAR+1,February,8-Wednesday)))</f>
        <v>45700</v>
      </c>
      <c r="N134" s="41"/>
    </row>
    <row r="135" spans="2:14" ht="15" customHeight="1" x14ac:dyDescent="0.25">
      <c r="B135" s="4">
        <v>791</v>
      </c>
      <c r="C135" t="s">
        <v>129</v>
      </c>
      <c r="D135" s="8" t="s">
        <v>2</v>
      </c>
      <c r="F135" s="15" t="s">
        <v>50</v>
      </c>
      <c r="G135" s="26"/>
      <c r="H135" s="26"/>
      <c r="I135" s="26"/>
      <c r="J135" s="26"/>
      <c r="K135" s="26"/>
      <c r="L135" t="s">
        <v>709</v>
      </c>
      <c r="M135" s="44">
        <f>IF(O135&gt;0,O135,DATE(YEAR+1,February,1+7*_2nd_weekday_occurrence)-WEEKDAY(DATE(YEAR+1,February,8-Wednesday)))</f>
        <v>45700</v>
      </c>
      <c r="N135" s="41"/>
    </row>
    <row r="136" spans="2:14" ht="15" customHeight="1" x14ac:dyDescent="0.25">
      <c r="B136" s="4">
        <v>2013</v>
      </c>
      <c r="C136" t="s">
        <v>196</v>
      </c>
      <c r="D136" s="8" t="s">
        <v>2</v>
      </c>
      <c r="F136" t="s">
        <v>50</v>
      </c>
      <c r="L136" s="51" t="s">
        <v>673</v>
      </c>
      <c r="M136" s="44">
        <f>IF(O136&gt;0,O136,DATE(YEAR+1,February,1+7*_2nd_weekday_occurrence)-WEEKDAY(DATE(YEAR+1,February,8-Wednesday)))</f>
        <v>45700</v>
      </c>
    </row>
    <row r="137" spans="2:14" ht="15" customHeight="1" x14ac:dyDescent="0.25">
      <c r="B137" s="4">
        <v>107</v>
      </c>
      <c r="C137" t="s">
        <v>52</v>
      </c>
      <c r="D137" s="8" t="s">
        <v>2</v>
      </c>
      <c r="E137" s="8" t="s">
        <v>225</v>
      </c>
      <c r="F137" s="42" t="s">
        <v>53</v>
      </c>
      <c r="G137" s="26"/>
      <c r="H137" s="26"/>
      <c r="I137" s="26"/>
      <c r="J137" s="26"/>
      <c r="K137" s="26"/>
      <c r="L137" t="s">
        <v>708</v>
      </c>
      <c r="M137" s="44">
        <f>IF(O137&gt;0,O137,DATE(YEAR+1,February,1+7*_2nd_weekday_occurrence)-WEEKDAY(DATE(YEAR+1,February,8-Thursday)))</f>
        <v>45701</v>
      </c>
      <c r="N137" s="41"/>
    </row>
    <row r="138" spans="2:14" ht="15" customHeight="1" x14ac:dyDescent="0.25">
      <c r="B138" s="4">
        <v>1389</v>
      </c>
      <c r="C138" t="s">
        <v>218</v>
      </c>
      <c r="D138" s="8" t="s">
        <v>2</v>
      </c>
      <c r="F138" s="14" t="s">
        <v>499</v>
      </c>
      <c r="G138" s="26"/>
      <c r="H138" s="26"/>
      <c r="I138" s="26"/>
      <c r="J138" s="26"/>
      <c r="K138" s="26"/>
      <c r="L138" s="42" t="s">
        <v>709</v>
      </c>
      <c r="M138" s="5">
        <f>IF(O138&gt;0,O138,DATE(YEAR+1,February,1+7*_2nd_weekday_occurrence)-WEEKDAY(DATE(YEAR+1,February,8-Thursday)))</f>
        <v>45701</v>
      </c>
      <c r="N138" s="41"/>
    </row>
    <row r="139" spans="2:14" ht="15" customHeight="1" x14ac:dyDescent="0.25">
      <c r="B139" s="4">
        <v>1091</v>
      </c>
      <c r="C139" t="s">
        <v>55</v>
      </c>
      <c r="D139" s="8" t="s">
        <v>2</v>
      </c>
      <c r="E139" s="8" t="s">
        <v>225</v>
      </c>
      <c r="F139" s="42" t="s">
        <v>56</v>
      </c>
      <c r="G139" s="26"/>
      <c r="H139" s="26"/>
      <c r="I139" s="26"/>
      <c r="J139" s="26"/>
      <c r="K139" s="26"/>
      <c r="L139" s="42" t="s">
        <v>710</v>
      </c>
      <c r="M139" s="5">
        <f>IF(O139&gt;0,O139,DATE(YEAR+1,February,1+7*_2nd_weekday_occurrence)-WEEKDAY(DATE(YEAR+1,February,8-Friday)))</f>
        <v>45702</v>
      </c>
      <c r="N139" s="41"/>
    </row>
    <row r="140" spans="2:14" ht="15" customHeight="1" x14ac:dyDescent="0.25">
      <c r="B140" s="4">
        <v>2014</v>
      </c>
      <c r="C140" t="s">
        <v>201</v>
      </c>
      <c r="D140" s="8" t="s">
        <v>2</v>
      </c>
      <c r="F140" s="14" t="s">
        <v>56</v>
      </c>
      <c r="G140" s="26"/>
      <c r="H140" s="26"/>
      <c r="I140" s="26"/>
      <c r="J140" s="26"/>
      <c r="K140" s="26"/>
      <c r="L140" s="5" t="s">
        <v>709</v>
      </c>
      <c r="M140" s="5">
        <f>IF(O140&gt;0,O140,DATE(YEAR+1,February,1+7*_2nd_weekday_occurrence)-WEEKDAY(DATE(YEAR+1,February,8-Friday)))</f>
        <v>45702</v>
      </c>
    </row>
    <row r="141" spans="2:14" ht="15" customHeight="1" x14ac:dyDescent="0.25">
      <c r="B141" s="4">
        <v>1984</v>
      </c>
      <c r="C141" t="s">
        <v>199</v>
      </c>
      <c r="D141" s="8" t="s">
        <v>2</v>
      </c>
      <c r="F141" s="14" t="s">
        <v>59</v>
      </c>
      <c r="G141" s="26"/>
      <c r="H141" s="26"/>
      <c r="I141" s="26"/>
      <c r="J141" s="26"/>
      <c r="K141" s="26"/>
      <c r="L141" s="51" t="s">
        <v>673</v>
      </c>
      <c r="M141" s="5">
        <f>IF(O141&gt;0,O141,DATE(YEAR+1,February,1+7*_3rd_weekday_occurrence)-WEEKDAY(DATE(YEAR+1,February,8-Saturday)))</f>
        <v>45703</v>
      </c>
      <c r="N141" s="43"/>
    </row>
    <row r="142" spans="2:14" ht="15" customHeight="1" x14ac:dyDescent="0.25">
      <c r="B142" s="4">
        <v>406</v>
      </c>
      <c r="C142" t="s">
        <v>61</v>
      </c>
      <c r="D142" s="8" t="s">
        <v>2</v>
      </c>
      <c r="E142" s="8" t="s">
        <v>225</v>
      </c>
      <c r="F142" s="42" t="s">
        <v>62</v>
      </c>
      <c r="G142" s="26"/>
      <c r="H142" s="26"/>
      <c r="I142" s="26"/>
      <c r="J142" s="26"/>
      <c r="K142" s="26"/>
      <c r="L142" s="26" t="s">
        <v>672</v>
      </c>
      <c r="M142" s="5">
        <f>IF(O142&gt;0,O142,DATE(YEAR+1,February,1+7*_3rd_weekday_occurrence)-WEEKDAY(DATE(YEAR+1,February,8-Monday)))</f>
        <v>45705</v>
      </c>
      <c r="N142" s="41"/>
    </row>
    <row r="143" spans="2:14" ht="15" customHeight="1" x14ac:dyDescent="0.25">
      <c r="B143" s="4">
        <v>932</v>
      </c>
      <c r="C143" t="s">
        <v>63</v>
      </c>
      <c r="D143" s="8" t="s">
        <v>2</v>
      </c>
      <c r="E143" s="8" t="s">
        <v>225</v>
      </c>
      <c r="F143" s="42" t="s">
        <v>62</v>
      </c>
      <c r="G143" s="26"/>
      <c r="H143" s="26"/>
      <c r="I143" s="26"/>
      <c r="J143" s="26"/>
      <c r="K143" s="26"/>
      <c r="L143" t="s">
        <v>709</v>
      </c>
      <c r="M143" s="5">
        <f>IF(O143&gt;0,O143,DATE(YEAR+1,February,1+7*_3rd_weekday_occurrence)-WEEKDAY(DATE(YEAR+1,February,8-Monday)))</f>
        <v>45705</v>
      </c>
      <c r="N143" s="41"/>
    </row>
    <row r="144" spans="2:14" ht="15" customHeight="1" x14ac:dyDescent="0.25">
      <c r="B144" s="4">
        <v>1771</v>
      </c>
      <c r="C144" t="s">
        <v>125</v>
      </c>
      <c r="D144" s="8" t="s">
        <v>2</v>
      </c>
      <c r="F144" s="14" t="s">
        <v>62</v>
      </c>
      <c r="G144" s="26"/>
      <c r="H144" s="26"/>
      <c r="I144" s="26"/>
      <c r="J144" s="26"/>
      <c r="K144" s="26"/>
      <c r="L144" t="s">
        <v>693</v>
      </c>
      <c r="M144" s="5">
        <f>IF(O144&gt;0,O144,DATE(YEAR+1,February,1+7*_3rd_weekday_occurrence)-WEEKDAY(DATE(YEAR+1,February,8-Monday)))</f>
        <v>45705</v>
      </c>
      <c r="N144" s="41"/>
    </row>
    <row r="145" spans="2:14" ht="15" customHeight="1" x14ac:dyDescent="0.25">
      <c r="B145" s="4">
        <v>1</v>
      </c>
      <c r="C145" t="s">
        <v>64</v>
      </c>
      <c r="D145" s="8" t="s">
        <v>2</v>
      </c>
      <c r="E145" s="8" t="s">
        <v>225</v>
      </c>
      <c r="F145" s="42" t="s">
        <v>65</v>
      </c>
      <c r="G145" s="42"/>
      <c r="H145" s="42"/>
      <c r="I145" s="42"/>
      <c r="J145" s="42"/>
      <c r="K145" s="42"/>
      <c r="L145" s="42" t="s">
        <v>709</v>
      </c>
      <c r="M145" s="5">
        <f>IF(O145&gt;0,O145,DATE(YEAR+1,February,1+7*_3rd_weekday_occurrence)-WEEKDAY(DATE(YEAR+1,February,8-Tuesday)))</f>
        <v>45706</v>
      </c>
      <c r="N145" s="41"/>
    </row>
    <row r="146" spans="2:14" ht="15" customHeight="1" x14ac:dyDescent="0.25">
      <c r="B146" s="4">
        <v>856</v>
      </c>
      <c r="C146" t="s">
        <v>66</v>
      </c>
      <c r="D146" s="8" t="s">
        <v>2</v>
      </c>
      <c r="E146" s="8" t="s">
        <v>225</v>
      </c>
      <c r="F146" s="42" t="s">
        <v>67</v>
      </c>
      <c r="G146" s="26"/>
      <c r="H146" s="26"/>
      <c r="I146" s="26"/>
      <c r="J146" s="26"/>
      <c r="K146" s="26"/>
      <c r="L146" t="s">
        <v>693</v>
      </c>
      <c r="M146" s="5">
        <f>IF(O146&gt;0,O146,DATE(YEAR+1,February,1+7*_3rd_weekday_occurrence)-WEEKDAY(DATE(YEAR+1,February,8-Wednesday)))</f>
        <v>45707</v>
      </c>
      <c r="N146" s="41"/>
    </row>
    <row r="147" spans="2:14" ht="15" customHeight="1" x14ac:dyDescent="0.25">
      <c r="B147" s="4">
        <v>7</v>
      </c>
      <c r="C147" t="s">
        <v>42</v>
      </c>
      <c r="D147" s="8" t="s">
        <v>2</v>
      </c>
      <c r="E147" s="8" t="s">
        <v>225</v>
      </c>
      <c r="F147" s="42" t="s">
        <v>68</v>
      </c>
      <c r="G147" s="42"/>
      <c r="H147" s="42"/>
      <c r="I147" s="42"/>
      <c r="J147" s="42"/>
      <c r="K147" s="42"/>
      <c r="L147" s="42" t="s">
        <v>710</v>
      </c>
      <c r="M147" s="5">
        <f>IF(O147&gt;0,O147,DATE(YEAR+1,February,1+7*_3rd_weekday_occurrence)-WEEKDAY(DATE(YEAR+1,February,8-Thursday)))</f>
        <v>45708</v>
      </c>
      <c r="N147" s="41"/>
    </row>
    <row r="148" spans="2:14" ht="15" customHeight="1" x14ac:dyDescent="0.25">
      <c r="B148" s="4">
        <v>411</v>
      </c>
      <c r="C148" t="s">
        <v>69</v>
      </c>
      <c r="D148" s="8" t="s">
        <v>2</v>
      </c>
      <c r="E148" s="8" t="s">
        <v>225</v>
      </c>
      <c r="F148" s="42" t="s">
        <v>68</v>
      </c>
      <c r="G148" s="26"/>
      <c r="H148" s="26"/>
      <c r="I148" s="26"/>
      <c r="J148" s="26"/>
      <c r="K148" s="26"/>
      <c r="L148" s="42" t="s">
        <v>709</v>
      </c>
      <c r="M148" s="5">
        <f>IF(O148&gt;0,O148,DATE(YEAR+1,February,1+7*_3rd_weekday_occurrence)-WEEKDAY(DATE(YEAR+1,February,8-Thursday)))</f>
        <v>45708</v>
      </c>
      <c r="N148" s="41"/>
    </row>
    <row r="149" spans="2:14" ht="15" customHeight="1" x14ac:dyDescent="0.25">
      <c r="B149" s="4">
        <v>2001</v>
      </c>
      <c r="C149" t="s">
        <v>58</v>
      </c>
      <c r="D149" s="8" t="s">
        <v>2</v>
      </c>
      <c r="E149" s="8" t="s">
        <v>225</v>
      </c>
      <c r="F149" t="s">
        <v>68</v>
      </c>
      <c r="L149" s="51" t="s">
        <v>673</v>
      </c>
      <c r="M149" s="5">
        <f>IF(O149&gt;0,O149,DATE(YEAR+1,February,1+7*_3rd_weekday_occurrence)-WEEKDAY(DATE(YEAR+1,February,8-Thursday)))</f>
        <v>45708</v>
      </c>
    </row>
    <row r="150" spans="2:14" ht="15" customHeight="1" x14ac:dyDescent="0.25">
      <c r="B150" s="4" t="s">
        <v>181</v>
      </c>
      <c r="C150" t="s">
        <v>182</v>
      </c>
      <c r="D150" s="8" t="s">
        <v>2</v>
      </c>
      <c r="F150" s="15" t="s">
        <v>522</v>
      </c>
      <c r="G150" s="26"/>
      <c r="H150" s="26"/>
      <c r="I150" s="26"/>
      <c r="J150" s="26"/>
      <c r="K150" s="26"/>
      <c r="L150" s="26" t="s">
        <v>672</v>
      </c>
      <c r="M150" s="44">
        <f>IF(O150&gt;0,O150,DATE(YEAR+1,February,1+7*_3rd_weekday_occurrence)-WEEKDAY(DATE(YEAR+1,February,8-Thursday)))</f>
        <v>45708</v>
      </c>
    </row>
    <row r="151" spans="2:14" ht="15" customHeight="1" x14ac:dyDescent="0.25">
      <c r="B151" s="4">
        <v>1889</v>
      </c>
      <c r="C151" t="s">
        <v>186</v>
      </c>
      <c r="D151" s="8" t="s">
        <v>2</v>
      </c>
      <c r="F151" s="14" t="s">
        <v>509</v>
      </c>
      <c r="G151" s="26"/>
      <c r="H151" s="26"/>
      <c r="I151" s="26"/>
      <c r="J151" s="26"/>
      <c r="K151" s="26"/>
      <c r="L151" s="5" t="s">
        <v>672</v>
      </c>
      <c r="M151" s="5">
        <f>IF(O151&gt;0,O151,DATE(YEAR+1,February,1+7*_3rd_weekday_occurrence)-WEEKDAY(DATE(YEAR+1,February,8-Friday)))</f>
        <v>45709</v>
      </c>
      <c r="N151" s="41"/>
    </row>
    <row r="152" spans="2:14" ht="15" customHeight="1" x14ac:dyDescent="0.25">
      <c r="B152" s="4">
        <v>22</v>
      </c>
      <c r="C152" t="s">
        <v>70</v>
      </c>
      <c r="D152" s="8" t="s">
        <v>2</v>
      </c>
      <c r="E152" s="8" t="s">
        <v>225</v>
      </c>
      <c r="F152" s="42" t="s">
        <v>71</v>
      </c>
      <c r="G152" s="26"/>
      <c r="H152" s="26"/>
      <c r="I152" s="26"/>
      <c r="J152" s="26"/>
      <c r="K152" s="26"/>
      <c r="L152" t="s">
        <v>708</v>
      </c>
      <c r="M152" s="5">
        <f>IF(O152&gt;0,O152,DATE(YEAR+1,February,1+7*_4th_weekday_occurrence)-WEEKDAY(DATE(YEAR+1,February,8-Monday)))</f>
        <v>45712</v>
      </c>
      <c r="N152" s="41"/>
    </row>
    <row r="153" spans="2:14" ht="15" customHeight="1" x14ac:dyDescent="0.25">
      <c r="B153" s="4">
        <v>1227</v>
      </c>
      <c r="C153" t="s">
        <v>157</v>
      </c>
      <c r="D153" s="8" t="s">
        <v>2</v>
      </c>
      <c r="F153" t="s">
        <v>71</v>
      </c>
      <c r="L153" s="26" t="s">
        <v>672</v>
      </c>
      <c r="M153" s="5">
        <f>IF(O153&gt;0,O153,DATE(YEAR+1,February,1+7*_4th_weekday_occurrence)-WEEKDAY(DATE(YEAR+1,February,8-Monday)))</f>
        <v>45712</v>
      </c>
      <c r="N153" s="41"/>
    </row>
    <row r="154" spans="2:14" ht="15" customHeight="1" x14ac:dyDescent="0.25">
      <c r="B154" s="4">
        <v>234</v>
      </c>
      <c r="C154" t="s">
        <v>104</v>
      </c>
      <c r="D154" s="8" t="s">
        <v>2</v>
      </c>
      <c r="F154" s="15" t="s">
        <v>449</v>
      </c>
      <c r="G154" s="26"/>
      <c r="H154" s="26"/>
      <c r="I154" s="26"/>
      <c r="J154" s="26"/>
      <c r="K154" s="26"/>
      <c r="L154" s="26" t="s">
        <v>672</v>
      </c>
      <c r="M154" s="44">
        <f>IF(O154&gt;0,O154,DATE(YEAR+1,February,1+7*_4th_weekday_occurrence)-WEEKDAY(DATE(YEAR+1,February,8-Tuesday)))</f>
        <v>45713</v>
      </c>
      <c r="N154" s="41"/>
    </row>
    <row r="155" spans="2:14" ht="15" customHeight="1" x14ac:dyDescent="0.25">
      <c r="B155" s="4">
        <v>996</v>
      </c>
      <c r="C155" t="s">
        <v>192</v>
      </c>
      <c r="D155" s="8" t="s">
        <v>2</v>
      </c>
      <c r="F155" s="15" t="s">
        <v>449</v>
      </c>
      <c r="G155" s="26"/>
      <c r="H155" s="26"/>
      <c r="I155" s="26"/>
      <c r="J155" s="26"/>
      <c r="K155" s="26"/>
      <c r="L155" t="s">
        <v>708</v>
      </c>
      <c r="M155" s="5">
        <f>IF(O155&gt;0,O155,DATE(YEAR+1,February,1+7*_4th_weekday_occurrence)-WEEKDAY(DATE(YEAR+1,February,8-Tuesday)))</f>
        <v>45713</v>
      </c>
      <c r="N155" s="41"/>
    </row>
    <row r="156" spans="2:14" ht="15" customHeight="1" x14ac:dyDescent="0.25">
      <c r="B156" s="4">
        <v>1336</v>
      </c>
      <c r="C156" t="s">
        <v>703</v>
      </c>
      <c r="D156" s="8" t="s">
        <v>2</v>
      </c>
      <c r="E156" s="8" t="s">
        <v>225</v>
      </c>
      <c r="F156" s="15" t="s">
        <v>704</v>
      </c>
      <c r="L156" t="s">
        <v>708</v>
      </c>
      <c r="M156" s="55">
        <f>IF(O156&gt;0,O156,DATE(YEAR+1,February,1+7*_4th_weekday_occurrence)-WEEKDAY(DATE(YEAR+1,February,8-Tuesday)))</f>
        <v>45713</v>
      </c>
    </row>
    <row r="157" spans="2:14" ht="15" customHeight="1" x14ac:dyDescent="0.25">
      <c r="B157" s="4" t="s">
        <v>138</v>
      </c>
      <c r="C157" t="s">
        <v>139</v>
      </c>
      <c r="D157" s="8" t="s">
        <v>2</v>
      </c>
      <c r="F157" s="15" t="s">
        <v>449</v>
      </c>
      <c r="L157" s="51" t="s">
        <v>673</v>
      </c>
      <c r="M157" s="5">
        <f>IF(O157&gt;0,O157,DATE(YEAR+1,February,1+7*_4th_weekday_occurrence)-WEEKDAY(DATE(YEAR+1,February,8-Tuesday)))</f>
        <v>45713</v>
      </c>
    </row>
    <row r="158" spans="2:14" ht="15" customHeight="1" x14ac:dyDescent="0.25">
      <c r="B158" s="4">
        <v>139</v>
      </c>
      <c r="C158" t="s">
        <v>206</v>
      </c>
      <c r="D158" s="8" t="s">
        <v>2</v>
      </c>
      <c r="F158" s="15" t="s">
        <v>454</v>
      </c>
      <c r="G158" s="26"/>
      <c r="H158" s="26"/>
      <c r="I158" s="26"/>
      <c r="J158" s="26"/>
      <c r="K158" s="26"/>
      <c r="L158" s="5" t="s">
        <v>710</v>
      </c>
      <c r="M158" s="44">
        <f>IF(O158&gt;0,O158,DATE(YEAR+1,February,1+7*_4th_weekday_occurrence)-WEEKDAY(DATE(YEAR+1,February,8-Wednesday)))</f>
        <v>45714</v>
      </c>
      <c r="N158" s="41"/>
    </row>
    <row r="159" spans="2:14" ht="15" customHeight="1" x14ac:dyDescent="0.25">
      <c r="B159" s="4">
        <v>786</v>
      </c>
      <c r="C159" t="s">
        <v>142</v>
      </c>
      <c r="D159" s="8" t="s">
        <v>2</v>
      </c>
      <c r="F159" s="14" t="s">
        <v>454</v>
      </c>
      <c r="G159" s="26"/>
      <c r="H159" s="26"/>
      <c r="I159" s="26"/>
      <c r="J159" s="26"/>
      <c r="K159" s="26"/>
      <c r="L159" t="s">
        <v>693</v>
      </c>
      <c r="M159" s="5">
        <f>IF(O159&gt;0,O159,DATE(YEAR+1,February,1+7*_4th_weekday_occurrence)-WEEKDAY(DATE(YEAR+1,February,8-Wednesday)))</f>
        <v>45714</v>
      </c>
      <c r="N159" s="41"/>
    </row>
    <row r="160" spans="2:14" ht="15" customHeight="1" x14ac:dyDescent="0.25">
      <c r="B160" s="4">
        <v>458</v>
      </c>
      <c r="C160" t="s">
        <v>72</v>
      </c>
      <c r="D160" s="8" t="s">
        <v>2</v>
      </c>
      <c r="E160" s="8" t="s">
        <v>225</v>
      </c>
      <c r="F160" s="42" t="s">
        <v>73</v>
      </c>
      <c r="G160" s="26"/>
      <c r="H160" s="26"/>
      <c r="I160" s="26"/>
      <c r="J160" s="26"/>
      <c r="K160" s="26"/>
      <c r="L160" s="51" t="s">
        <v>673</v>
      </c>
      <c r="M160" s="5">
        <f>IF(O160&gt;0,O160,DATE(YEAR+1,March,1+7*_1st_weekday_occurrence)-WEEKDAY(DATE(YEAR+1,March,8-Monday)))</f>
        <v>45719</v>
      </c>
      <c r="N160" s="41"/>
    </row>
    <row r="161" spans="2:14" ht="15" customHeight="1" x14ac:dyDescent="0.25">
      <c r="B161" s="4">
        <v>1124</v>
      </c>
      <c r="C161" t="s">
        <v>74</v>
      </c>
      <c r="D161" s="8" t="s">
        <v>2</v>
      </c>
      <c r="E161" s="8" t="s">
        <v>225</v>
      </c>
      <c r="F161" s="42" t="s">
        <v>73</v>
      </c>
      <c r="G161" s="26"/>
      <c r="H161" s="26"/>
      <c r="I161" s="26"/>
      <c r="J161" s="26"/>
      <c r="K161" s="26"/>
      <c r="L161" s="5" t="s">
        <v>710</v>
      </c>
      <c r="M161" s="5">
        <f>IF(O161&gt;0,O161,DATE(YEAR+1,March,1+7*_1st_weekday_occurrence)-WEEKDAY(DATE(YEAR+1,March,8-Monday)))</f>
        <v>45719</v>
      </c>
      <c r="N161" s="41"/>
    </row>
    <row r="162" spans="2:14" ht="15" customHeight="1" x14ac:dyDescent="0.25">
      <c r="B162" s="4">
        <v>1638</v>
      </c>
      <c r="C162" t="s">
        <v>75</v>
      </c>
      <c r="D162" s="8" t="s">
        <v>2</v>
      </c>
      <c r="E162" s="8" t="s">
        <v>225</v>
      </c>
      <c r="F162" s="42" t="s">
        <v>90</v>
      </c>
      <c r="G162" s="26"/>
      <c r="H162" s="26"/>
      <c r="I162" s="26"/>
      <c r="J162" s="26"/>
      <c r="K162" s="26"/>
      <c r="L162" t="s">
        <v>672</v>
      </c>
      <c r="M162" s="5">
        <f>IF(O162&gt;0,O162,DATE(YEAR+1,March,1+7*_1st_weekday_occurrence)-WEEKDAY(DATE(YEAR+1,March,8-Monday)))</f>
        <v>45719</v>
      </c>
      <c r="N162" s="41"/>
    </row>
    <row r="163" spans="2:14" ht="15" customHeight="1" x14ac:dyDescent="0.25">
      <c r="B163" s="4">
        <v>652</v>
      </c>
      <c r="C163" t="s">
        <v>127</v>
      </c>
      <c r="D163" s="8" t="s">
        <v>2</v>
      </c>
      <c r="F163" s="15" t="s">
        <v>77</v>
      </c>
      <c r="G163" s="26"/>
      <c r="H163" s="26"/>
      <c r="I163" s="26"/>
      <c r="J163" s="26"/>
      <c r="K163" s="26"/>
      <c r="L163" s="42" t="s">
        <v>709</v>
      </c>
      <c r="M163" s="5">
        <f>IF(O163&gt;0,O163,DATE(YEAR+1,March,1+7*_1st_weekday_occurrence)-WEEKDAY(DATE(YEAR+1,March,8-Tuesday)))</f>
        <v>45720</v>
      </c>
      <c r="N163" s="41"/>
    </row>
    <row r="164" spans="2:14" ht="15" customHeight="1" x14ac:dyDescent="0.25">
      <c r="B164" s="4">
        <v>976</v>
      </c>
      <c r="C164" t="s">
        <v>76</v>
      </c>
      <c r="D164" s="8" t="s">
        <v>2</v>
      </c>
      <c r="E164" s="8" t="s">
        <v>225</v>
      </c>
      <c r="F164" s="42" t="s">
        <v>77</v>
      </c>
      <c r="G164" s="26"/>
      <c r="H164" s="26"/>
      <c r="I164" s="26"/>
      <c r="J164" s="26"/>
      <c r="K164" s="26"/>
      <c r="L164" s="5" t="s">
        <v>693</v>
      </c>
      <c r="M164" s="5">
        <f>IF(O164&gt;0,O164,DATE(YEAR+1,March,1+7*_1st_weekday_occurrence)-WEEKDAY(DATE(YEAR+1,March,8-Tuesday)))</f>
        <v>45720</v>
      </c>
      <c r="N164" s="41"/>
    </row>
    <row r="165" spans="2:14" ht="15" customHeight="1" x14ac:dyDescent="0.25">
      <c r="B165" s="4">
        <v>1534</v>
      </c>
      <c r="C165" t="s">
        <v>159</v>
      </c>
      <c r="D165" s="8" t="s">
        <v>2</v>
      </c>
      <c r="F165" s="15" t="s">
        <v>504</v>
      </c>
      <c r="G165" s="26"/>
      <c r="H165" s="26"/>
      <c r="I165" s="26"/>
      <c r="J165" s="26"/>
      <c r="K165" s="26"/>
      <c r="L165" s="51" t="s">
        <v>693</v>
      </c>
      <c r="M165" s="5">
        <f>IF(O165&gt;0,O165,DATE(YEAR+1,March,1+7*_1st_weekday_occurrence)-WEEKDAY(DATE(YEAR+1,March,8-Wednesday)))</f>
        <v>45721</v>
      </c>
      <c r="N165" s="41"/>
    </row>
    <row r="166" spans="2:14" ht="15" customHeight="1" x14ac:dyDescent="0.25">
      <c r="B166" s="4">
        <v>1160</v>
      </c>
      <c r="C166" t="s">
        <v>78</v>
      </c>
      <c r="D166" s="8" t="s">
        <v>2</v>
      </c>
      <c r="E166" s="8" t="s">
        <v>225</v>
      </c>
      <c r="F166" s="42" t="s">
        <v>79</v>
      </c>
      <c r="G166" s="26"/>
      <c r="H166" s="26"/>
      <c r="I166" s="26"/>
      <c r="J166" s="26"/>
      <c r="K166" s="26"/>
      <c r="L166" t="s">
        <v>693</v>
      </c>
      <c r="M166" s="5">
        <f>IF(O166&gt;0,O166,DATE(YEAR+1,March,1+7*_1st_weekday_occurrence)-WEEKDAY(DATE(YEAR+1,March,8-Thursday)))</f>
        <v>45722</v>
      </c>
      <c r="N166" s="41"/>
    </row>
    <row r="167" spans="2:14" ht="15" customHeight="1" x14ac:dyDescent="0.25">
      <c r="B167" s="4">
        <v>815</v>
      </c>
      <c r="C167" t="s">
        <v>80</v>
      </c>
      <c r="D167" s="8" t="s">
        <v>2</v>
      </c>
      <c r="E167" s="8" t="s">
        <v>225</v>
      </c>
      <c r="F167" s="42" t="s">
        <v>81</v>
      </c>
      <c r="G167" s="26"/>
      <c r="H167" s="26"/>
      <c r="I167" s="26"/>
      <c r="J167" s="26"/>
      <c r="K167" s="26"/>
      <c r="L167" s="26" t="s">
        <v>673</v>
      </c>
      <c r="M167" s="5">
        <f>IF(O167&gt;0,O167,DATE(YEAR+1,March,1+7*_2nd_weekday_occurrence)-WEEKDAY(DATE(YEAR+1,March,8-Monday)))</f>
        <v>45726</v>
      </c>
      <c r="N167" s="41"/>
    </row>
    <row r="168" spans="2:14" ht="15" customHeight="1" x14ac:dyDescent="0.25">
      <c r="B168" s="4">
        <v>1856</v>
      </c>
      <c r="C168" t="s">
        <v>204</v>
      </c>
      <c r="D168" s="8" t="s">
        <v>2</v>
      </c>
      <c r="F168" s="15" t="s">
        <v>81</v>
      </c>
      <c r="G168" s="26"/>
      <c r="H168" s="26"/>
      <c r="I168" s="26"/>
      <c r="J168" s="26"/>
      <c r="K168" s="26"/>
      <c r="L168" t="s">
        <v>708</v>
      </c>
      <c r="M168" s="5">
        <f>IF(O168&gt;0,O168,DATE(YEAR+1,March,1+7*_2nd_weekday_occurrence)-WEEKDAY(DATE(YEAR+1,March,8-Monday)))</f>
        <v>45726</v>
      </c>
      <c r="N168" s="41"/>
    </row>
    <row r="169" spans="2:14" ht="15" customHeight="1" x14ac:dyDescent="0.25">
      <c r="B169" s="4">
        <v>643</v>
      </c>
      <c r="C169" t="s">
        <v>115</v>
      </c>
      <c r="D169" s="8" t="s">
        <v>2</v>
      </c>
      <c r="F169" s="15" t="s">
        <v>469</v>
      </c>
      <c r="G169" s="26"/>
      <c r="H169" s="26"/>
      <c r="I169" s="26"/>
      <c r="J169" s="26"/>
      <c r="K169" s="26"/>
      <c r="L169" s="26" t="s">
        <v>672</v>
      </c>
      <c r="M169" s="5">
        <f>IF(O169&gt;0,O169,DATE(YEAR+1,March,1+7*_2nd_weekday_occurrence)-WEEKDAY(DATE(YEAR+1,March,8-Tuesday)))</f>
        <v>45727</v>
      </c>
      <c r="N169" s="41"/>
    </row>
    <row r="170" spans="2:14" ht="15" customHeight="1" x14ac:dyDescent="0.25">
      <c r="B170" s="4">
        <v>469</v>
      </c>
      <c r="C170" t="s">
        <v>216</v>
      </c>
      <c r="D170" s="8" t="s">
        <v>2</v>
      </c>
      <c r="F170" s="14" t="s">
        <v>83</v>
      </c>
      <c r="G170" s="26"/>
      <c r="H170" s="26"/>
      <c r="I170" s="26"/>
      <c r="J170" s="26"/>
      <c r="K170" s="26"/>
      <c r="L170" t="s">
        <v>708</v>
      </c>
      <c r="M170" s="5">
        <f>IF(O170&gt;0,O170,DATE(YEAR+1,March,1+7*_2nd_weekday_occurrence)-WEEKDAY(DATE(YEAR+1,March,8-Wednesday)))</f>
        <v>45728</v>
      </c>
      <c r="N170" s="41"/>
    </row>
    <row r="171" spans="2:14" ht="15" customHeight="1" x14ac:dyDescent="0.25">
      <c r="B171" s="4">
        <v>833</v>
      </c>
      <c r="C171" t="s">
        <v>82</v>
      </c>
      <c r="D171" s="8" t="s">
        <v>2</v>
      </c>
      <c r="E171" s="8" t="s">
        <v>225</v>
      </c>
      <c r="F171" s="42" t="s">
        <v>83</v>
      </c>
      <c r="G171" s="26"/>
      <c r="H171" s="26"/>
      <c r="I171" s="26"/>
      <c r="J171" s="26"/>
      <c r="K171" s="26"/>
      <c r="L171" s="51" t="s">
        <v>673</v>
      </c>
      <c r="M171" s="5">
        <f>IF(O171&gt;0,O171,DATE(YEAR+1,March,1+7*_2nd_weekday_occurrence)-WEEKDAY(DATE(YEAR+1,March,8-Wednesday)))</f>
        <v>45728</v>
      </c>
      <c r="N171" s="41"/>
    </row>
    <row r="172" spans="2:14" ht="15" customHeight="1" x14ac:dyDescent="0.25">
      <c r="B172" s="4">
        <v>1152</v>
      </c>
      <c r="C172" t="s">
        <v>155</v>
      </c>
      <c r="D172" s="8" t="s">
        <v>2</v>
      </c>
      <c r="F172" s="15" t="s">
        <v>83</v>
      </c>
      <c r="G172" s="26"/>
      <c r="H172" s="26"/>
      <c r="I172" s="26"/>
      <c r="J172" s="26"/>
      <c r="K172" s="26"/>
      <c r="L172" s="5" t="s">
        <v>672</v>
      </c>
      <c r="M172" s="5">
        <f>IF(O172&gt;0,O172,DATE(YEAR+1,March,1+7*_2nd_weekday_occurrence)-WEEKDAY(DATE(YEAR+1,March,8-Wednesday)))</f>
        <v>45728</v>
      </c>
      <c r="N172" s="41"/>
    </row>
    <row r="173" spans="2:14" ht="15" customHeight="1" x14ac:dyDescent="0.25">
      <c r="B173" s="4">
        <v>363</v>
      </c>
      <c r="C173" t="s">
        <v>133</v>
      </c>
      <c r="D173" s="8" t="s">
        <v>2</v>
      </c>
      <c r="F173" t="s">
        <v>457</v>
      </c>
      <c r="L173" s="26" t="s">
        <v>672</v>
      </c>
      <c r="M173" s="44">
        <f>IF(O173&gt;0,O173,DATE(YEAR+1,March,1+1+7*_2nd_weekday_occurrence)-WEEKDAY(DATE(YEAR+1,March,8-Wednesday)))</f>
        <v>45729</v>
      </c>
      <c r="N173" s="41"/>
    </row>
    <row r="174" spans="2:14" ht="15" customHeight="1" x14ac:dyDescent="0.25">
      <c r="B174" s="4">
        <v>1228</v>
      </c>
      <c r="C174" t="s">
        <v>84</v>
      </c>
      <c r="D174" s="8" t="s">
        <v>2</v>
      </c>
      <c r="E174" s="8" t="s">
        <v>225</v>
      </c>
      <c r="F174" s="42" t="s">
        <v>85</v>
      </c>
      <c r="G174" s="26"/>
      <c r="H174" s="26"/>
      <c r="I174" s="26"/>
      <c r="J174" s="26"/>
      <c r="K174" s="26"/>
      <c r="L174" t="s">
        <v>710</v>
      </c>
      <c r="M174" s="5">
        <f>IF(O174&gt;0,O174,DATE(YEAR+1,March,1+7*_2nd_weekday_occurrence)-WEEKDAY(DATE(YEAR+1,March,8-Thursday)))</f>
        <v>45729</v>
      </c>
      <c r="N174" s="41"/>
    </row>
    <row r="175" spans="2:14" ht="15" customHeight="1" x14ac:dyDescent="0.25">
      <c r="B175" s="4">
        <v>1767</v>
      </c>
      <c r="C175" t="s">
        <v>171</v>
      </c>
      <c r="D175" s="8" t="s">
        <v>2</v>
      </c>
      <c r="F175" s="14" t="s">
        <v>507</v>
      </c>
      <c r="G175" s="26"/>
      <c r="H175" s="26"/>
      <c r="I175" s="26"/>
      <c r="J175" s="26"/>
      <c r="K175" s="26"/>
      <c r="L175" s="42" t="s">
        <v>709</v>
      </c>
      <c r="M175" s="5">
        <f>IF(O175&gt;0,O175,DATE(YEAR+1,March,1+7*_2nd_weekday_occurrence)-WEEKDAY(DATE(YEAR+1,March,8-Thursday)))</f>
        <v>45729</v>
      </c>
      <c r="N175" s="41"/>
    </row>
    <row r="176" spans="2:14" ht="15" customHeight="1" x14ac:dyDescent="0.25">
      <c r="B176" s="4">
        <v>728</v>
      </c>
      <c r="C176" t="s">
        <v>86</v>
      </c>
      <c r="D176" s="8" t="s">
        <v>2</v>
      </c>
      <c r="E176" s="8" t="s">
        <v>225</v>
      </c>
      <c r="F176" s="42" t="s">
        <v>87</v>
      </c>
      <c r="G176" s="26"/>
      <c r="H176" s="26"/>
      <c r="I176" s="26"/>
      <c r="J176" s="26"/>
      <c r="K176" s="26"/>
      <c r="L176" t="s">
        <v>708</v>
      </c>
      <c r="M176" s="5">
        <f>IF(O176&gt;0,O176,DATE(YEAR+1,March,1+7*_2nd_weekday_occurrence)-WEEKDAY(DATE(YEAR+1,March,8-Friday)))</f>
        <v>45730</v>
      </c>
      <c r="N176" s="41"/>
    </row>
    <row r="177" spans="2:14" ht="15" customHeight="1" x14ac:dyDescent="0.25">
      <c r="B177" s="4">
        <v>997</v>
      </c>
      <c r="C177" t="s">
        <v>88</v>
      </c>
      <c r="D177" s="8" t="s">
        <v>2</v>
      </c>
      <c r="E177" s="8" t="s">
        <v>225</v>
      </c>
      <c r="F177" s="42" t="s">
        <v>87</v>
      </c>
      <c r="G177" s="26"/>
      <c r="H177" s="26"/>
      <c r="I177" s="26"/>
      <c r="J177" s="26"/>
      <c r="K177" s="26"/>
      <c r="L177" t="s">
        <v>710</v>
      </c>
      <c r="M177" s="5">
        <f>IF(O177&gt;0,O177,DATE(YEAR+1,March,1+7*_2nd_weekday_occurrence)-WEEKDAY(DATE(YEAR+1,March,8-Friday)))</f>
        <v>45730</v>
      </c>
      <c r="N177" s="41"/>
    </row>
    <row r="178" spans="2:14" ht="15" customHeight="1" x14ac:dyDescent="0.25">
      <c r="B178" s="4">
        <v>238</v>
      </c>
      <c r="C178" t="s">
        <v>146</v>
      </c>
      <c r="D178" s="8" t="s">
        <v>2</v>
      </c>
      <c r="F178" s="15" t="s">
        <v>90</v>
      </c>
      <c r="G178" s="26"/>
      <c r="H178" s="26"/>
      <c r="I178" s="26"/>
      <c r="J178" s="26"/>
      <c r="K178" s="26"/>
      <c r="L178" t="s">
        <v>708</v>
      </c>
      <c r="M178" s="44">
        <f>IF(O178&gt;0,O178,DATE(YEAR+1,March,1+7*_3rd_weekday_occurrence)-WEEKDAY(DATE(YEAR+1,March,8-Monday)))</f>
        <v>45733</v>
      </c>
      <c r="N178" s="41"/>
    </row>
    <row r="179" spans="2:14" ht="15" customHeight="1" x14ac:dyDescent="0.25">
      <c r="B179" s="4">
        <v>431</v>
      </c>
      <c r="C179" t="s">
        <v>89</v>
      </c>
      <c r="D179" s="8" t="s">
        <v>2</v>
      </c>
      <c r="E179" s="8" t="s">
        <v>225</v>
      </c>
      <c r="F179" s="42" t="s">
        <v>90</v>
      </c>
      <c r="G179" s="26"/>
      <c r="H179" s="26"/>
      <c r="I179" s="26"/>
      <c r="J179" s="26"/>
      <c r="K179" s="26"/>
      <c r="L179" t="s">
        <v>710</v>
      </c>
      <c r="M179" s="5">
        <f>IF(O179&gt;0,O179,DATE(YEAR+1,March,1+7*_3rd_weekday_occurrence)-WEEKDAY(DATE(YEAR+1,March,8-Monday)))</f>
        <v>45733</v>
      </c>
      <c r="N179" s="41"/>
    </row>
    <row r="180" spans="2:14" ht="15" customHeight="1" x14ac:dyDescent="0.25">
      <c r="B180" s="4">
        <v>418</v>
      </c>
      <c r="C180" t="s">
        <v>91</v>
      </c>
      <c r="D180" s="8" t="s">
        <v>2</v>
      </c>
      <c r="E180" s="8" t="s">
        <v>225</v>
      </c>
      <c r="F180" s="42" t="s">
        <v>92</v>
      </c>
      <c r="G180" s="26"/>
      <c r="H180" s="26"/>
      <c r="I180" s="26"/>
      <c r="J180" s="26"/>
      <c r="K180" s="26"/>
      <c r="L180" s="42" t="s">
        <v>709</v>
      </c>
      <c r="M180" s="5">
        <f>IF(O180&gt;0,O180,DATE(YEAR+1,March,1+7*_3rd_weekday_occurrence)-WEEKDAY(DATE(YEAR+1,March,8-Wednesday)))</f>
        <v>45735</v>
      </c>
      <c r="N180" s="41"/>
    </row>
    <row r="181" spans="2:14" ht="15" customHeight="1" x14ac:dyDescent="0.25">
      <c r="B181" s="4">
        <v>410</v>
      </c>
      <c r="C181" t="s">
        <v>93</v>
      </c>
      <c r="D181" s="8" t="s">
        <v>2</v>
      </c>
      <c r="E181" s="8" t="s">
        <v>225</v>
      </c>
      <c r="F181" s="42" t="s">
        <v>94</v>
      </c>
      <c r="G181" s="26"/>
      <c r="H181" s="26"/>
      <c r="I181" s="26"/>
      <c r="J181" s="26"/>
      <c r="K181" s="26"/>
      <c r="L181" t="s">
        <v>693</v>
      </c>
      <c r="M181" s="5">
        <f>IF(O181&gt;0,O181,DATE(YEAR+1,March,1+7*_3rd_weekday_occurrence)-WEEKDAY(DATE(YEAR+1,March,8-Thursday)))</f>
        <v>45736</v>
      </c>
      <c r="N181" s="41"/>
    </row>
    <row r="182" spans="2:14" ht="15" customHeight="1" x14ac:dyDescent="0.25">
      <c r="B182" s="4">
        <v>647</v>
      </c>
      <c r="C182" t="s">
        <v>4</v>
      </c>
      <c r="D182" s="8" t="s">
        <v>2</v>
      </c>
      <c r="F182" s="15" t="s">
        <v>471</v>
      </c>
      <c r="G182" s="26"/>
      <c r="H182" s="26"/>
      <c r="I182" s="26"/>
      <c r="J182" s="26"/>
      <c r="K182" s="26"/>
      <c r="L182" t="s">
        <v>693</v>
      </c>
      <c r="M182" s="5">
        <f>IF(O182&gt;0,O182,DATE(YEAR+1,March,1+7*_3rd_weekday_occurrence)-WEEKDAY(DATE(YEAR+1,March,8-Thursday)))</f>
        <v>45736</v>
      </c>
      <c r="N182" s="41"/>
    </row>
    <row r="183" spans="2:14" ht="15" customHeight="1" x14ac:dyDescent="0.25">
      <c r="B183" s="4">
        <v>1457</v>
      </c>
      <c r="C183" t="s">
        <v>161</v>
      </c>
      <c r="D183" s="8" t="s">
        <v>2</v>
      </c>
      <c r="F183" s="15" t="s">
        <v>500</v>
      </c>
      <c r="G183" s="26"/>
      <c r="H183" s="26"/>
      <c r="I183" s="26"/>
      <c r="J183" s="26"/>
      <c r="K183" s="26"/>
      <c r="L183" t="s">
        <v>693</v>
      </c>
      <c r="M183" s="5">
        <f>IF(O183&gt;0,O183,DATE(YEAR+1,March,1+7*_3rd_weekday_occurrence)-WEEKDAY(DATE(YEAR+1,March,8-Friday)))</f>
        <v>45737</v>
      </c>
      <c r="N183" s="41"/>
    </row>
    <row r="184" spans="2:14" ht="15" customHeight="1" x14ac:dyDescent="0.25">
      <c r="B184" s="4">
        <v>921</v>
      </c>
      <c r="C184" t="s">
        <v>95</v>
      </c>
      <c r="D184" s="8" t="s">
        <v>2</v>
      </c>
      <c r="E184" s="8" t="s">
        <v>225</v>
      </c>
      <c r="F184" s="42" t="s">
        <v>96</v>
      </c>
      <c r="G184" s="26"/>
      <c r="H184" s="26"/>
      <c r="I184" s="26"/>
      <c r="J184" s="26"/>
      <c r="K184" s="26"/>
      <c r="L184" t="s">
        <v>693</v>
      </c>
      <c r="M184" s="5">
        <f>IF(O184&gt;0,O184,DATE(YEAR+1,March,1+7*_4th_weekday_occurrence)-WEEKDAY(DATE(YEAR+1,March,8-Monday)))</f>
        <v>45740</v>
      </c>
      <c r="N184" s="41"/>
    </row>
    <row r="185" spans="2:14" ht="15" customHeight="1" x14ac:dyDescent="0.25">
      <c r="B185" s="4">
        <v>361</v>
      </c>
      <c r="C185" t="s">
        <v>208</v>
      </c>
      <c r="D185" s="8" t="s">
        <v>2</v>
      </c>
      <c r="F185" s="14" t="s">
        <v>98</v>
      </c>
      <c r="G185" s="26"/>
      <c r="H185" s="26"/>
      <c r="I185" s="26"/>
      <c r="J185" s="26"/>
      <c r="K185" s="26"/>
      <c r="L185" s="51" t="s">
        <v>673</v>
      </c>
      <c r="M185" s="44">
        <f>IF(O185&gt;0,O185,DATE(YEAR+1,March,1+7*_4th_weekday_occurrence)-WEEKDAY(DATE(YEAR+1,March,8-Tuesday)))</f>
        <v>45741</v>
      </c>
      <c r="N185" s="41"/>
    </row>
    <row r="186" spans="2:14" ht="15" customHeight="1" x14ac:dyDescent="0.25">
      <c r="B186" s="4">
        <v>742</v>
      </c>
      <c r="C186" t="s">
        <v>97</v>
      </c>
      <c r="D186" s="8" t="s">
        <v>2</v>
      </c>
      <c r="E186" s="8" t="s">
        <v>225</v>
      </c>
      <c r="F186" s="42" t="s">
        <v>98</v>
      </c>
      <c r="G186" s="26"/>
      <c r="H186" s="26"/>
      <c r="I186" s="26"/>
      <c r="J186" s="26"/>
      <c r="K186" s="26"/>
      <c r="L186" s="42" t="s">
        <v>709</v>
      </c>
      <c r="M186" s="5">
        <f>IF(O186&gt;0,O186,DATE(YEAR+1,March,1+7*_4th_weekday_occurrence)-WEEKDAY(DATE(YEAR+1,March,8-Tuesday)))</f>
        <v>45741</v>
      </c>
      <c r="N186" s="41"/>
    </row>
    <row r="187" spans="2:14" ht="15" customHeight="1" x14ac:dyDescent="0.25">
      <c r="B187" s="4">
        <v>1265</v>
      </c>
      <c r="C187" t="s">
        <v>194</v>
      </c>
      <c r="D187" s="8" t="s">
        <v>2</v>
      </c>
      <c r="F187" s="15" t="s">
        <v>98</v>
      </c>
      <c r="G187" s="26"/>
      <c r="H187" s="26"/>
      <c r="I187" s="26"/>
      <c r="J187" s="26"/>
      <c r="K187" s="26"/>
      <c r="L187" s="42" t="s">
        <v>710</v>
      </c>
      <c r="M187" s="5">
        <f>IF(O187&gt;0,O187,DATE(YEAR+1,March,1+7*_4th_weekday_occurrence)-WEEKDAY(DATE(YEAR+1,March,8-Tuesday)))</f>
        <v>45741</v>
      </c>
      <c r="N187" s="41"/>
    </row>
    <row r="188" spans="2:14" ht="15" customHeight="1" x14ac:dyDescent="0.25">
      <c r="B188" s="4">
        <v>1978</v>
      </c>
      <c r="C188" t="s">
        <v>211</v>
      </c>
      <c r="D188" s="8" t="s">
        <v>2</v>
      </c>
      <c r="F188" s="15" t="s">
        <v>98</v>
      </c>
      <c r="G188" s="26"/>
      <c r="H188" s="26"/>
      <c r="I188" s="26"/>
      <c r="J188" s="26"/>
      <c r="K188" s="26"/>
      <c r="L188" s="51" t="s">
        <v>708</v>
      </c>
      <c r="M188" s="5">
        <f>IF(O188&gt;0,O188,DATE(YEAR+1,March,1+7*_4th_weekday_occurrence)-WEEKDAY(DATE(YEAR+1,March,8-Tuesday)))</f>
        <v>45741</v>
      </c>
      <c r="N188" s="41"/>
    </row>
    <row r="189" spans="2:14" ht="15" customHeight="1" x14ac:dyDescent="0.25">
      <c r="B189" s="4">
        <v>1895</v>
      </c>
      <c r="C189" t="s">
        <v>184</v>
      </c>
      <c r="D189" s="8" t="s">
        <v>2</v>
      </c>
      <c r="F189" s="15" t="s">
        <v>512</v>
      </c>
      <c r="G189" s="26"/>
      <c r="H189" s="26"/>
      <c r="I189" s="26"/>
      <c r="J189" s="26"/>
      <c r="K189" s="26"/>
      <c r="L189" s="5" t="s">
        <v>672</v>
      </c>
      <c r="M189" s="5">
        <f>IF(O189&gt;0,O189,DATE(YEAR+1,March,1+7*_4th_weekday_occurrence)-WEEKDAY(DATE(YEAR+1,March,8-Thursday)))</f>
        <v>45743</v>
      </c>
      <c r="N189" s="41"/>
    </row>
    <row r="190" spans="2:14" ht="15" customHeight="1" x14ac:dyDescent="0.25">
      <c r="B190" s="4">
        <v>104</v>
      </c>
      <c r="C190" t="s">
        <v>195</v>
      </c>
      <c r="D190" s="8" t="s">
        <v>2</v>
      </c>
      <c r="F190" t="s">
        <v>534</v>
      </c>
      <c r="G190" s="5">
        <f>DATE(YEAR+1,March,1+7*_5th_weekday_occurrence)-WEEKDAY(DATE(YEAR+1,March,8-Monday))</f>
        <v>45747</v>
      </c>
      <c r="H190" s="5">
        <f>DATE(YEAR+1,March,1+7*_5th_weekday_occurrence)-WEEKDAY(DATE(YEAR+1,March,8-Tuesday))</f>
        <v>45748</v>
      </c>
      <c r="I190" s="5">
        <f>DATE(YEAR+1,March,1+7*_5th_weekday_occurrence)-WEEKDAY(DATE(YEAR+1,March,8-Wednesday))</f>
        <v>45749</v>
      </c>
      <c r="J190" s="5">
        <f>DATE(YEAR+1,March,1+7*_5th_weekday_occurrence)-WEEKDAY(DATE(YEAR+1,March,8-Thursday))</f>
        <v>45750</v>
      </c>
      <c r="K190" s="5">
        <f>DATE(YEAR+1,March,1+7*_5th_weekday_occurrence)-WEEKDAY(DATE(YEAR+1,March,8-Friday))</f>
        <v>45751</v>
      </c>
      <c r="L190" s="5" t="s">
        <v>710</v>
      </c>
      <c r="M190" s="5">
        <f>IF(O190&gt;0,O190,SMALL(G190:K190,COUNTIF(G190:K190,0)+1))</f>
        <v>45747</v>
      </c>
      <c r="N190" s="41"/>
    </row>
    <row r="191" spans="2:14" ht="15" customHeight="1" x14ac:dyDescent="0.25">
      <c r="B191" s="4">
        <v>569</v>
      </c>
      <c r="C191" t="s">
        <v>99</v>
      </c>
      <c r="D191" s="8" t="s">
        <v>2</v>
      </c>
      <c r="E191" s="8" t="s">
        <v>225</v>
      </c>
      <c r="F191" s="42" t="s">
        <v>100</v>
      </c>
      <c r="G191" s="26"/>
      <c r="H191" s="26"/>
      <c r="I191" s="26"/>
      <c r="J191" s="26"/>
      <c r="K191" s="26"/>
      <c r="L191" s="26" t="s">
        <v>672</v>
      </c>
      <c r="M191" s="5">
        <f>IF(O191&gt;0,O191,DATE(YEAR+1,April,1+7*_1st_weekday_occurrence)-WEEKDAY(DATE(YEAR+1,April,8-Thursday)))</f>
        <v>45750</v>
      </c>
      <c r="N191" s="41"/>
    </row>
    <row r="192" spans="2:14" ht="15" customHeight="1" x14ac:dyDescent="0.25">
      <c r="B192" s="4">
        <v>1473</v>
      </c>
      <c r="C192" t="s">
        <v>101</v>
      </c>
      <c r="D192" s="8" t="s">
        <v>2</v>
      </c>
      <c r="E192" s="8" t="s">
        <v>225</v>
      </c>
      <c r="F192" s="42" t="s">
        <v>100</v>
      </c>
      <c r="G192" s="26"/>
      <c r="H192" s="26"/>
      <c r="I192" s="26"/>
      <c r="J192" s="26"/>
      <c r="K192" s="26"/>
      <c r="L192" s="26" t="s">
        <v>672</v>
      </c>
      <c r="M192" s="5">
        <f>IF(O192&gt;0,O192,DATE(YEAR+1,April,1+7*_1st_weekday_occurrence)-WEEKDAY(DATE(YEAR+1,April,8-Thursday)))</f>
        <v>45750</v>
      </c>
      <c r="N192" s="41"/>
    </row>
    <row r="193" spans="2:14" ht="15" customHeight="1" x14ac:dyDescent="0.25">
      <c r="B193" s="4">
        <v>1909</v>
      </c>
      <c r="C193" t="s">
        <v>102</v>
      </c>
      <c r="D193" s="8" t="s">
        <v>2</v>
      </c>
      <c r="E193" s="8" t="s">
        <v>225</v>
      </c>
      <c r="F193" s="42" t="s">
        <v>103</v>
      </c>
      <c r="G193" s="26"/>
      <c r="H193" s="26"/>
      <c r="I193" s="26"/>
      <c r="J193" s="26"/>
      <c r="K193" s="26"/>
      <c r="L193" s="5" t="s">
        <v>710</v>
      </c>
      <c r="M193" s="5">
        <f>IF(O193&gt;0,O193,DATE(YEAR+1,April,1+7*_1st_weekday_occurrence)-WEEKDAY(DATE(YEAR+1,April,8-Saturday)))</f>
        <v>45752</v>
      </c>
      <c r="N193" s="41"/>
    </row>
    <row r="194" spans="2:14" ht="15" customHeight="1" x14ac:dyDescent="0.25">
      <c r="B194" s="4">
        <v>234</v>
      </c>
      <c r="C194" t="s">
        <v>104</v>
      </c>
      <c r="D194" s="8" t="s">
        <v>2</v>
      </c>
      <c r="E194" s="8" t="s">
        <v>225</v>
      </c>
      <c r="F194" s="42" t="s">
        <v>105</v>
      </c>
      <c r="G194" s="26"/>
      <c r="H194" s="26"/>
      <c r="I194" s="26"/>
      <c r="J194" s="26"/>
      <c r="K194" s="26"/>
      <c r="L194" s="26" t="s">
        <v>672</v>
      </c>
      <c r="M194" s="44">
        <f>IF(O194&gt;0,O194,DATE(YEAR+1,April,1+7*_2nd_weekday_occurrence)-WEEKDAY(DATE(YEAR+1,April,8-Tuesday)))</f>
        <v>45755</v>
      </c>
      <c r="N194" s="41"/>
    </row>
    <row r="195" spans="2:14" ht="15" customHeight="1" x14ac:dyDescent="0.25">
      <c r="B195" s="4">
        <v>835</v>
      </c>
      <c r="C195" t="s">
        <v>106</v>
      </c>
      <c r="D195" s="8" t="s">
        <v>2</v>
      </c>
      <c r="E195" s="8" t="s">
        <v>225</v>
      </c>
      <c r="F195" s="42" t="s">
        <v>105</v>
      </c>
      <c r="G195" s="26"/>
      <c r="H195" s="26"/>
      <c r="I195" s="26"/>
      <c r="J195" s="26"/>
      <c r="K195" s="26"/>
      <c r="L195" s="26" t="s">
        <v>672</v>
      </c>
      <c r="M195" s="5">
        <f>IF(O195&gt;0,O195,DATE(YEAR+1,April,1+7*_2nd_weekday_occurrence)-WEEKDAY(DATE(YEAR+1,April,8-Tuesday)))</f>
        <v>45755</v>
      </c>
      <c r="N195" s="41"/>
    </row>
    <row r="196" spans="2:14" ht="15" customHeight="1" x14ac:dyDescent="0.25">
      <c r="B196" s="4">
        <v>856</v>
      </c>
      <c r="C196" t="s">
        <v>66</v>
      </c>
      <c r="D196" s="8" t="s">
        <v>2</v>
      </c>
      <c r="F196" s="14" t="s">
        <v>481</v>
      </c>
      <c r="G196" s="26"/>
      <c r="H196" s="26"/>
      <c r="I196" s="26"/>
      <c r="J196" s="26"/>
      <c r="K196" s="26"/>
      <c r="L196" t="s">
        <v>693</v>
      </c>
      <c r="M196" s="5">
        <f>IF(O196&gt;0,O196,DATE(YEAR+1,April,1+7*_2nd_weekday_occurrence)-WEEKDAY(DATE(YEAR+1,April,8-Wednesday)))</f>
        <v>45756</v>
      </c>
      <c r="N196" s="41"/>
    </row>
    <row r="197" spans="2:14" ht="15" customHeight="1" x14ac:dyDescent="0.25">
      <c r="B197" s="4">
        <v>2014</v>
      </c>
      <c r="C197" t="s">
        <v>201</v>
      </c>
      <c r="D197" s="8" t="s">
        <v>2</v>
      </c>
      <c r="F197" s="14" t="s">
        <v>520</v>
      </c>
      <c r="G197" s="26"/>
      <c r="H197" s="26"/>
      <c r="I197" s="26"/>
      <c r="J197" s="26"/>
      <c r="K197" s="26"/>
      <c r="L197" s="5" t="s">
        <v>709</v>
      </c>
      <c r="M197" s="5">
        <f>IF(O197&gt;0,O197,DATE(YEAR+1,April,1+7*_2nd_weekday_occurrence)-WEEKDAY(DATE(YEAR+1,April,8-Thursday)))</f>
        <v>45757</v>
      </c>
    </row>
    <row r="198" spans="2:14" ht="15" customHeight="1" x14ac:dyDescent="0.25">
      <c r="B198" s="4">
        <v>2013</v>
      </c>
      <c r="C198" t="s">
        <v>196</v>
      </c>
      <c r="D198" s="8" t="s">
        <v>2</v>
      </c>
      <c r="F198" s="15" t="s">
        <v>519</v>
      </c>
      <c r="L198" s="51" t="s">
        <v>673</v>
      </c>
      <c r="M198" s="44">
        <f>IF(O198&gt;0,O198,DATE(YEAR+1,April,1+7*_2nd_weekday_occurrence)-WEEKDAY(DATE(YEAR+1,April,8-Friday)))</f>
        <v>45758</v>
      </c>
    </row>
    <row r="199" spans="2:14" ht="15" customHeight="1" x14ac:dyDescent="0.25">
      <c r="B199" s="4">
        <v>2042</v>
      </c>
      <c r="C199" t="s">
        <v>699</v>
      </c>
      <c r="D199" s="8" t="s">
        <v>2</v>
      </c>
      <c r="F199" s="15" t="s">
        <v>519</v>
      </c>
      <c r="L199" s="51" t="s">
        <v>708</v>
      </c>
      <c r="M199" s="5">
        <f>IF(O199&gt;0,O199,DATE(YEAR+1,April,1+7*_2nd_weekday_occurrence)-WEEKDAY(DATE(YEAR+1,April,8-Friday)))</f>
        <v>45758</v>
      </c>
    </row>
    <row r="200" spans="2:14" ht="15" customHeight="1" x14ac:dyDescent="0.25">
      <c r="B200" s="4">
        <v>1071</v>
      </c>
      <c r="C200" t="s">
        <v>141</v>
      </c>
      <c r="D200" s="8" t="s">
        <v>2</v>
      </c>
      <c r="F200" s="15" t="s">
        <v>485</v>
      </c>
      <c r="G200" s="26"/>
      <c r="H200" s="26"/>
      <c r="I200" s="26"/>
      <c r="J200" s="26"/>
      <c r="K200" s="26"/>
      <c r="L200" t="s">
        <v>710</v>
      </c>
      <c r="M200" s="5">
        <f>IF(O200&gt;0,O200,DATE(YEAR+1,April,1+7*_3rd_weekday_occurrence)-WEEKDAY(DATE(YEAR+1,April,8-Tuesday)))</f>
        <v>45762</v>
      </c>
      <c r="N200" s="41"/>
    </row>
    <row r="201" spans="2:14" ht="15" customHeight="1" x14ac:dyDescent="0.25">
      <c r="B201" s="4">
        <v>5</v>
      </c>
      <c r="C201" t="s">
        <v>178</v>
      </c>
      <c r="D201" s="8" t="s">
        <v>2</v>
      </c>
      <c r="F201" s="14" t="s">
        <v>108</v>
      </c>
      <c r="L201" t="s">
        <v>708</v>
      </c>
      <c r="M201" s="5">
        <f>IF(O201&gt;0,O201,DATE(YEAR+1,April,1+7*_3rd_weekday_occurrence)-WEEKDAY(DATE(YEAR+1,April,8-Wednesday)))</f>
        <v>45763</v>
      </c>
      <c r="N201" s="41"/>
    </row>
    <row r="202" spans="2:14" ht="15" customHeight="1" x14ac:dyDescent="0.25">
      <c r="B202" s="4">
        <v>899</v>
      </c>
      <c r="C202" t="s">
        <v>107</v>
      </c>
      <c r="D202" s="8" t="s">
        <v>2</v>
      </c>
      <c r="E202" s="8" t="s">
        <v>225</v>
      </c>
      <c r="F202" s="42" t="s">
        <v>108</v>
      </c>
      <c r="G202" s="26"/>
      <c r="H202" s="26"/>
      <c r="I202" s="26"/>
      <c r="J202" s="26"/>
      <c r="K202" s="26"/>
      <c r="L202" t="s">
        <v>708</v>
      </c>
      <c r="M202" s="5">
        <f>IF(O202&gt;0,O202,DATE(YEAR+1,April,1+7*_3rd_weekday_occurrence)-WEEKDAY(DATE(YEAR+1,April,8-Wednesday)))</f>
        <v>45763</v>
      </c>
      <c r="N202" s="41"/>
    </row>
    <row r="203" spans="2:14" ht="15" customHeight="1" x14ac:dyDescent="0.25">
      <c r="B203" s="4">
        <v>239</v>
      </c>
      <c r="C203" t="s">
        <v>12</v>
      </c>
      <c r="D203" s="8" t="s">
        <v>2</v>
      </c>
      <c r="F203" s="15" t="s">
        <v>452</v>
      </c>
      <c r="G203" s="26"/>
      <c r="H203" s="26"/>
      <c r="I203" s="26"/>
      <c r="J203" s="26"/>
      <c r="K203" s="26"/>
      <c r="L203" s="51" t="s">
        <v>673</v>
      </c>
      <c r="M203" s="44">
        <f>IF(O203&gt;0,O203,DATE(YEAR+1,April,1+7*_3rd_weekday_occurrence)-WEEKDAY(DATE(YEAR+1,April,8-Thursday)))</f>
        <v>45764</v>
      </c>
      <c r="N203" s="41"/>
    </row>
    <row r="204" spans="2:14" ht="15" customHeight="1" x14ac:dyDescent="0.25">
      <c r="B204" s="4">
        <v>1074</v>
      </c>
      <c r="C204" t="s">
        <v>109</v>
      </c>
      <c r="D204" s="8" t="s">
        <v>2</v>
      </c>
      <c r="E204" s="8" t="s">
        <v>225</v>
      </c>
      <c r="F204" s="42" t="s">
        <v>110</v>
      </c>
      <c r="G204" s="26"/>
      <c r="H204" s="26"/>
      <c r="I204" s="26"/>
      <c r="J204" s="26"/>
      <c r="K204" s="26"/>
      <c r="L204" t="s">
        <v>693</v>
      </c>
      <c r="M204" s="5">
        <f>IF(O204&gt;0,O204,DATE(YEAR+1,April,1+7*_3rd_weekday_occurrence)-WEEKDAY(DATE(YEAR+1,April,8-Thursday)))</f>
        <v>45764</v>
      </c>
      <c r="N204" s="41"/>
    </row>
    <row r="205" spans="2:14" ht="15" customHeight="1" x14ac:dyDescent="0.25">
      <c r="B205" s="4" t="s">
        <v>181</v>
      </c>
      <c r="C205" t="s">
        <v>182</v>
      </c>
      <c r="D205" s="8" t="s">
        <v>2</v>
      </c>
      <c r="F205" s="15" t="s">
        <v>452</v>
      </c>
      <c r="G205" s="26"/>
      <c r="H205" s="26"/>
      <c r="I205" s="26"/>
      <c r="J205" s="26"/>
      <c r="K205" s="26"/>
      <c r="L205" s="26" t="s">
        <v>672</v>
      </c>
      <c r="M205" s="44">
        <f>IF(O205&gt;0,O205,DATE(YEAR+1,April,1+7*_3rd_weekday_occurrence)-WEEKDAY(DATE(YEAR+1,April,8-Thursday)))</f>
        <v>45764</v>
      </c>
    </row>
    <row r="206" spans="2:14" ht="15" customHeight="1" x14ac:dyDescent="0.25">
      <c r="B206" s="4">
        <v>433</v>
      </c>
      <c r="C206" t="s">
        <v>220</v>
      </c>
      <c r="D206" s="8" t="s">
        <v>2</v>
      </c>
      <c r="F206" s="15" t="s">
        <v>461</v>
      </c>
      <c r="G206" s="26"/>
      <c r="H206" s="26"/>
      <c r="I206" s="26"/>
      <c r="J206" s="26"/>
      <c r="K206" s="26"/>
      <c r="L206" s="51" t="s">
        <v>673</v>
      </c>
      <c r="M206" s="5">
        <f>IF(O206&gt;0,O206,DATE(YEAR+1,April,1+7*_3rd_weekday_occurrence)-WEEKDAY(DATE(YEAR+1,April,8-Friday)))</f>
        <v>45765</v>
      </c>
      <c r="N206" s="41"/>
    </row>
    <row r="207" spans="2:14" ht="15" customHeight="1" x14ac:dyDescent="0.25">
      <c r="B207" s="4">
        <v>8</v>
      </c>
      <c r="C207" t="s">
        <v>180</v>
      </c>
      <c r="D207" s="8" t="s">
        <v>2</v>
      </c>
      <c r="F207" s="15" t="s">
        <v>440</v>
      </c>
      <c r="L207" t="s">
        <v>693</v>
      </c>
      <c r="M207" s="5">
        <f>IF(O207&gt;0,O207,DATE(YEAR+1,April,1+7*_3rd_weekday_occurrence)-WEEKDAY(DATE(YEAR+1,April,8-Monday)))</f>
        <v>45768</v>
      </c>
    </row>
    <row r="208" spans="2:14" ht="15" customHeight="1" x14ac:dyDescent="0.25">
      <c r="B208" s="4">
        <v>459</v>
      </c>
      <c r="C208" t="s">
        <v>137</v>
      </c>
      <c r="D208" s="8" t="s">
        <v>2</v>
      </c>
      <c r="F208" s="14" t="s">
        <v>440</v>
      </c>
      <c r="G208" s="26"/>
      <c r="H208" s="26"/>
      <c r="I208" s="26"/>
      <c r="J208" s="26"/>
      <c r="K208" s="26"/>
      <c r="L208" s="42" t="s">
        <v>672</v>
      </c>
      <c r="M208" s="5">
        <f>IF(O208&gt;0,O208,DATE(YEAR+1,April,1+7*_3rd_weekday_occurrence)-WEEKDAY(DATE(YEAR+1,April,8-Monday)))</f>
        <v>45768</v>
      </c>
      <c r="N208" s="41"/>
    </row>
    <row r="209" spans="2:14" ht="15" customHeight="1" x14ac:dyDescent="0.25">
      <c r="B209" s="4">
        <v>1</v>
      </c>
      <c r="C209" t="s">
        <v>64</v>
      </c>
      <c r="D209" s="8" t="s">
        <v>2</v>
      </c>
      <c r="F209" s="14" t="s">
        <v>433</v>
      </c>
      <c r="L209" s="42" t="s">
        <v>709</v>
      </c>
      <c r="M209" s="5">
        <f>IF(O209&gt;0,O209,DATE(YEAR+1,April,1+7*_4th_weekday_occurrence)-WEEKDAY(DATE(YEAR+1,April,8-Wednesday)))</f>
        <v>45770</v>
      </c>
      <c r="N209" s="41"/>
    </row>
    <row r="210" spans="2:14" ht="15" customHeight="1" x14ac:dyDescent="0.25">
      <c r="B210" s="4">
        <v>936</v>
      </c>
      <c r="C210" t="s">
        <v>165</v>
      </c>
      <c r="D210" s="8" t="s">
        <v>2</v>
      </c>
      <c r="F210" s="14" t="s">
        <v>433</v>
      </c>
      <c r="G210" s="26"/>
      <c r="H210" s="26"/>
      <c r="I210" s="26"/>
      <c r="J210" s="26"/>
      <c r="K210" s="26"/>
      <c r="L210" t="s">
        <v>693</v>
      </c>
      <c r="M210" s="5">
        <f>IF(O210&gt;0,O210,DATE(YEAR+1,April,1+7*_4th_weekday_occurrence)-WEEKDAY(DATE(YEAR+1,April,8-Wednesday)))</f>
        <v>45770</v>
      </c>
      <c r="N210" s="41"/>
    </row>
    <row r="211" spans="2:14" ht="15" customHeight="1" x14ac:dyDescent="0.25">
      <c r="B211" s="4">
        <v>802</v>
      </c>
      <c r="C211" t="s">
        <v>169</v>
      </c>
      <c r="D211" s="8" t="s">
        <v>2</v>
      </c>
      <c r="F211" s="15" t="s">
        <v>476</v>
      </c>
      <c r="G211" s="26"/>
      <c r="H211" s="26"/>
      <c r="I211" s="26"/>
      <c r="J211" s="26"/>
      <c r="K211" s="26"/>
      <c r="L211" s="42" t="s">
        <v>709</v>
      </c>
      <c r="M211" s="5">
        <f>IF(O211&gt;0,O211,DATE(YEAR+1,April,1+7*_4th_weekday_occurrence)-WEEKDAY(DATE(YEAR+1,April,8-Thursday)))</f>
        <v>45771</v>
      </c>
      <c r="N211" s="41"/>
    </row>
    <row r="212" spans="2:14" ht="15" customHeight="1" x14ac:dyDescent="0.25">
      <c r="B212" s="4">
        <v>828</v>
      </c>
      <c r="C212" t="s">
        <v>111</v>
      </c>
      <c r="D212" s="8" t="s">
        <v>2</v>
      </c>
      <c r="E212" s="8" t="s">
        <v>225</v>
      </c>
      <c r="F212" s="42" t="s">
        <v>112</v>
      </c>
      <c r="G212" s="26"/>
      <c r="H212" s="26"/>
      <c r="I212" s="26"/>
      <c r="J212" s="26"/>
      <c r="K212" s="26"/>
      <c r="L212" t="s">
        <v>709</v>
      </c>
      <c r="M212" s="5">
        <f>IF(O212&gt;0,O212,DATE(YEAR+1,April,1+7*_4th_weekday_occurrence)-WEEKDAY(DATE(YEAR+1,April,8-Thursday)))</f>
        <v>45771</v>
      </c>
      <c r="N212" s="41"/>
    </row>
    <row r="213" spans="2:14" ht="15" customHeight="1" x14ac:dyDescent="0.25">
      <c r="B213" s="4">
        <v>1363</v>
      </c>
      <c r="C213" t="s">
        <v>28</v>
      </c>
      <c r="D213" s="8" t="s">
        <v>2</v>
      </c>
      <c r="F213" s="14" t="s">
        <v>114</v>
      </c>
      <c r="G213" s="26"/>
      <c r="H213" s="26"/>
      <c r="I213" s="26"/>
      <c r="J213" s="26"/>
      <c r="K213" s="26"/>
      <c r="L213" s="5" t="s">
        <v>710</v>
      </c>
      <c r="M213" s="5">
        <f>IF(O213&gt;0,O213,DATE(YEAR+1,April,1+7*_4th_weekday_occurrence)-WEEKDAY(DATE(YEAR+1,April,8-Friday)))</f>
        <v>45772</v>
      </c>
      <c r="N213" s="41"/>
    </row>
    <row r="214" spans="2:14" ht="15" customHeight="1" x14ac:dyDescent="0.25">
      <c r="B214" s="4">
        <v>1989</v>
      </c>
      <c r="C214" t="s">
        <v>113</v>
      </c>
      <c r="D214" s="8" t="s">
        <v>2</v>
      </c>
      <c r="E214" s="8" t="s">
        <v>225</v>
      </c>
      <c r="F214" s="42" t="s">
        <v>114</v>
      </c>
      <c r="G214" s="26"/>
      <c r="H214" s="26"/>
      <c r="I214" s="26"/>
      <c r="J214" s="26"/>
      <c r="K214" s="26"/>
      <c r="L214" t="s">
        <v>693</v>
      </c>
      <c r="M214" s="5">
        <f>IF(O214&gt;0,O214,DATE(YEAR+1,April,1+7*_4th_weekday_occurrence)-WEEKDAY(DATE(YEAR+1,April,8-Friday)))</f>
        <v>45772</v>
      </c>
      <c r="N214" s="41"/>
    </row>
    <row r="215" spans="2:14" ht="15" customHeight="1" x14ac:dyDescent="0.25">
      <c r="B215" s="4">
        <v>2022</v>
      </c>
      <c r="C215" t="s">
        <v>163</v>
      </c>
      <c r="D215" s="8" t="s">
        <v>2</v>
      </c>
      <c r="F215" s="14" t="s">
        <v>521</v>
      </c>
      <c r="G215" s="26"/>
      <c r="H215" s="26"/>
      <c r="I215" s="26"/>
      <c r="J215" s="26"/>
      <c r="K215" s="26"/>
      <c r="L215" s="5" t="s">
        <v>710</v>
      </c>
      <c r="M215" s="5">
        <f>IF(O215&gt;0,O215,DATE(YEAR+1,April,1+7*_4th_weekday_occurrence)-WEEKDAY(DATE(YEAR+1,April,8-Saturday)))</f>
        <v>45773</v>
      </c>
    </row>
    <row r="216" spans="2:14" ht="15" customHeight="1" x14ac:dyDescent="0.25">
      <c r="B216" s="4">
        <v>1200</v>
      </c>
      <c r="C216" t="s">
        <v>131</v>
      </c>
      <c r="D216" s="8" t="s">
        <v>2</v>
      </c>
      <c r="F216" s="15" t="s">
        <v>496</v>
      </c>
      <c r="G216" s="26"/>
      <c r="H216" s="26"/>
      <c r="I216" s="26"/>
      <c r="J216" s="26"/>
      <c r="K216" s="26"/>
      <c r="L216" s="42" t="s">
        <v>710</v>
      </c>
      <c r="M216" s="5">
        <f>IF(O216&gt;0,O216,DATE(YEAR+1,April,1+7*_4th_weekday_occurrence)-WEEKDAY(DATE(YEAR+1,April,8-Monday)))</f>
        <v>45775</v>
      </c>
      <c r="N216" s="41"/>
    </row>
    <row r="217" spans="2:14" ht="15" customHeight="1" x14ac:dyDescent="0.25">
      <c r="B217" s="4">
        <v>197</v>
      </c>
      <c r="C217" t="s">
        <v>213</v>
      </c>
      <c r="D217" s="8" t="s">
        <v>2</v>
      </c>
      <c r="F217" s="15" t="s">
        <v>447</v>
      </c>
      <c r="G217" s="26"/>
      <c r="H217" s="26"/>
      <c r="I217" s="26"/>
      <c r="J217" s="26"/>
      <c r="K217" s="26"/>
      <c r="L217" s="26" t="s">
        <v>672</v>
      </c>
      <c r="M217" s="44">
        <f>IF(O217&gt;0,O217,DATE(YEAR+1,May,1+7*_1st_weekday_occurrence)-WEEKDAY(DATE(YEAR+1,May,8-Thursday)))</f>
        <v>45778</v>
      </c>
      <c r="N217" s="41"/>
    </row>
    <row r="218" spans="2:14" ht="15" customHeight="1" x14ac:dyDescent="0.25">
      <c r="B218" s="4">
        <v>385</v>
      </c>
      <c r="C218" t="s">
        <v>33</v>
      </c>
      <c r="D218" s="8" t="s">
        <v>2</v>
      </c>
      <c r="F218" s="15" t="s">
        <v>447</v>
      </c>
      <c r="G218" s="26"/>
      <c r="H218" s="26"/>
      <c r="I218" s="26"/>
      <c r="J218" s="26"/>
      <c r="K218" s="26"/>
      <c r="L218" t="s">
        <v>708</v>
      </c>
      <c r="M218" s="5">
        <f>IF(O218&gt;0,O218,DATE(YEAR+1,May,1+7*_1st_weekday_occurrence)-WEEKDAY(DATE(YEAR+1,May,8-Thursday)))</f>
        <v>45778</v>
      </c>
      <c r="N218" s="41"/>
    </row>
    <row r="219" spans="2:14" ht="15" customHeight="1" x14ac:dyDescent="0.25">
      <c r="B219" s="4">
        <v>1994</v>
      </c>
      <c r="C219" t="s">
        <v>185</v>
      </c>
      <c r="D219" s="8" t="s">
        <v>2</v>
      </c>
      <c r="F219" s="15" t="s">
        <v>517</v>
      </c>
      <c r="G219" s="26"/>
      <c r="H219" s="26"/>
      <c r="I219" s="26"/>
      <c r="J219" s="26"/>
      <c r="K219" s="26"/>
      <c r="L219" s="51" t="s">
        <v>673</v>
      </c>
      <c r="M219" s="5">
        <f>IF(O219&gt;0,O219,DATE(YEAR+1,May,1+7*_1st_weekday_occurrence)-WEEKDAY(DATE(YEAR+1,May,8-Tuesday)))</f>
        <v>45783</v>
      </c>
      <c r="N219" s="41"/>
    </row>
    <row r="220" spans="2:14" ht="15" customHeight="1" x14ac:dyDescent="0.25">
      <c r="B220" s="4">
        <v>643</v>
      </c>
      <c r="C220" t="s">
        <v>115</v>
      </c>
      <c r="D220" s="8" t="s">
        <v>2</v>
      </c>
      <c r="E220" s="8" t="s">
        <v>225</v>
      </c>
      <c r="F220" s="42" t="s">
        <v>116</v>
      </c>
      <c r="G220" s="26"/>
      <c r="H220" s="26"/>
      <c r="I220" s="26"/>
      <c r="J220" s="26"/>
      <c r="K220" s="26"/>
      <c r="L220" s="26" t="s">
        <v>672</v>
      </c>
      <c r="M220" s="5">
        <f>IF(O220&gt;0,O220,DATE(YEAR+1,May,1+7*_1st_weekday_occurrence)-WEEKDAY(DATE(YEAR+1,May,8-Wednesday)))</f>
        <v>45784</v>
      </c>
      <c r="N220" s="41"/>
    </row>
    <row r="221" spans="2:14" ht="15" customHeight="1" x14ac:dyDescent="0.25">
      <c r="B221" s="4">
        <v>996</v>
      </c>
      <c r="C221" t="s">
        <v>192</v>
      </c>
      <c r="D221" s="8" t="s">
        <v>2</v>
      </c>
      <c r="F221" s="15" t="s">
        <v>116</v>
      </c>
      <c r="G221" s="26"/>
      <c r="H221" s="26"/>
      <c r="I221" s="26"/>
      <c r="J221" s="26"/>
      <c r="K221" s="26"/>
      <c r="L221" t="s">
        <v>708</v>
      </c>
      <c r="M221" s="5">
        <f>IF(O221&gt;0,O221,DATE(YEAR+1,May,1+7*_1st_weekday_occurrence)-WEEKDAY(DATE(YEAR+1,May,8-Wednesday)))</f>
        <v>45784</v>
      </c>
      <c r="N221" s="41"/>
    </row>
    <row r="222" spans="2:14" ht="15" customHeight="1" x14ac:dyDescent="0.25">
      <c r="B222" s="4">
        <v>1389</v>
      </c>
      <c r="C222" t="s">
        <v>218</v>
      </c>
      <c r="D222" s="8" t="s">
        <v>2</v>
      </c>
      <c r="F222" s="14" t="s">
        <v>116</v>
      </c>
      <c r="G222" s="26"/>
      <c r="H222" s="26"/>
      <c r="I222" s="26"/>
      <c r="J222" s="26"/>
      <c r="K222" s="26"/>
      <c r="L222" s="42" t="s">
        <v>709</v>
      </c>
      <c r="M222" s="5">
        <f>IF(O222&gt;0,O222,DATE(YEAR+1,May,1+7*_1st_weekday_occurrence)-WEEKDAY(DATE(YEAR+1,May,8-Wednesday)))</f>
        <v>45784</v>
      </c>
      <c r="N222" s="41"/>
    </row>
    <row r="223" spans="2:14" ht="15" customHeight="1" x14ac:dyDescent="0.25">
      <c r="B223" s="4">
        <v>107</v>
      </c>
      <c r="C223" t="s">
        <v>52</v>
      </c>
      <c r="D223" s="8" t="s">
        <v>2</v>
      </c>
      <c r="F223" s="15" t="s">
        <v>443</v>
      </c>
      <c r="G223" s="26"/>
      <c r="H223" s="26"/>
      <c r="I223" s="26"/>
      <c r="J223" s="26"/>
      <c r="K223" s="26"/>
      <c r="L223" t="s">
        <v>708</v>
      </c>
      <c r="M223" s="44">
        <f>IF(O223&gt;0,O223,DATE(YEAR+1,May,1+7*_2nd_weekday_occurrence)-WEEKDAY(DATE(YEAR+1,May,8-Thursday)))</f>
        <v>45785</v>
      </c>
      <c r="N223" s="41"/>
    </row>
    <row r="224" spans="2:14" ht="15" customHeight="1" x14ac:dyDescent="0.25">
      <c r="B224" s="4">
        <v>315</v>
      </c>
      <c r="C224" t="s">
        <v>197</v>
      </c>
      <c r="D224" s="8" t="s">
        <v>2</v>
      </c>
      <c r="F224" s="14" t="s">
        <v>455</v>
      </c>
      <c r="G224" s="26"/>
      <c r="H224" s="26"/>
      <c r="I224" s="26"/>
      <c r="J224" s="26"/>
      <c r="K224" s="26"/>
      <c r="L224" t="s">
        <v>708</v>
      </c>
      <c r="M224" s="44">
        <f>IF(O224&gt;0,O224,DATE(YEAR+1,May,1+7*_2nd_weekday_occurrence)-WEEKDAY(DATE(YEAR+1,May,8-Friday)))</f>
        <v>45786</v>
      </c>
      <c r="N224" s="41"/>
    </row>
    <row r="225" spans="2:14" ht="15" customHeight="1" x14ac:dyDescent="0.25">
      <c r="B225" s="4">
        <v>1997</v>
      </c>
      <c r="C225" t="s">
        <v>676</v>
      </c>
      <c r="D225" s="8" t="s">
        <v>2</v>
      </c>
      <c r="F225" s="15" t="s">
        <v>518</v>
      </c>
      <c r="G225" s="26"/>
      <c r="H225" s="26"/>
      <c r="I225" s="26"/>
      <c r="J225" s="26"/>
      <c r="K225" s="26"/>
      <c r="L225" t="s">
        <v>708</v>
      </c>
      <c r="M225" s="5">
        <f>IF(O225&gt;0,O225,DATE(YEAR+1,May,1+7*_2nd_weekday_occurrence)-WEEKDAY(DATE(YEAR+1,May,8-Saturday)))</f>
        <v>45787</v>
      </c>
    </row>
    <row r="226" spans="2:14" ht="15" customHeight="1" x14ac:dyDescent="0.25">
      <c r="B226" s="4">
        <v>400</v>
      </c>
      <c r="C226" t="s">
        <v>117</v>
      </c>
      <c r="D226" s="8" t="s">
        <v>2</v>
      </c>
      <c r="E226" s="8" t="s">
        <v>225</v>
      </c>
      <c r="F226" s="42" t="s">
        <v>118</v>
      </c>
      <c r="G226" s="26"/>
      <c r="H226" s="26"/>
      <c r="I226" s="26"/>
      <c r="J226" s="26"/>
      <c r="K226" s="26"/>
      <c r="L226" s="51" t="s">
        <v>673</v>
      </c>
      <c r="M226" s="5">
        <f>IF(O226&gt;0,O226,DATE(YEAR+1,May,1+7*_2nd_weekday_occurrence)-WEEKDAY(DATE(YEAR+1,May,8-Monday)))</f>
        <v>45789</v>
      </c>
      <c r="N226" s="41"/>
    </row>
    <row r="227" spans="2:14" ht="15" customHeight="1" x14ac:dyDescent="0.25">
      <c r="B227" s="4">
        <v>22</v>
      </c>
      <c r="C227" t="s">
        <v>70</v>
      </c>
      <c r="D227" s="8" t="s">
        <v>2</v>
      </c>
      <c r="F227" s="14" t="s">
        <v>441</v>
      </c>
      <c r="G227" s="26"/>
      <c r="H227" s="26"/>
      <c r="I227" s="26"/>
      <c r="J227" s="26"/>
      <c r="K227" s="26"/>
      <c r="L227" t="s">
        <v>708</v>
      </c>
      <c r="M227" s="5">
        <f>IF(O227&gt;0,O227,DATE(YEAR+1,May,1+7*_2nd_weekday_occurrence)-WEEKDAY(DATE(YEAR+1,May,8-Tuesday)))</f>
        <v>45790</v>
      </c>
      <c r="N227" s="41"/>
    </row>
    <row r="228" spans="2:14" ht="15" customHeight="1" x14ac:dyDescent="0.25">
      <c r="B228" s="4">
        <v>7</v>
      </c>
      <c r="C228" t="s">
        <v>42</v>
      </c>
      <c r="D228" s="8" t="s">
        <v>2</v>
      </c>
      <c r="F228" s="14" t="s">
        <v>438</v>
      </c>
      <c r="L228" s="42" t="s">
        <v>710</v>
      </c>
      <c r="M228" s="5">
        <f>IF(O228&gt;0,O228,DATE(YEAR+1,May,1+7*_3rd_weekday_occurrence)-WEEKDAY(DATE(YEAR+1,May,8-Thursday)))</f>
        <v>45792</v>
      </c>
      <c r="N228" s="41"/>
    </row>
    <row r="229" spans="2:14" ht="15" customHeight="1" x14ac:dyDescent="0.25">
      <c r="B229" s="4">
        <v>1889</v>
      </c>
      <c r="C229" t="s">
        <v>186</v>
      </c>
      <c r="D229" s="8" t="s">
        <v>2</v>
      </c>
      <c r="F229" s="14" t="s">
        <v>510</v>
      </c>
      <c r="G229" s="26"/>
      <c r="H229" s="26"/>
      <c r="I229" s="26"/>
      <c r="J229" s="26"/>
      <c r="K229" s="26"/>
      <c r="L229" s="5" t="s">
        <v>672</v>
      </c>
      <c r="M229" s="5">
        <f>IF(O229&gt;0,O229,DATE(YEAR+1,May,1+7*_3rd_weekday_occurrence)-WEEKDAY(DATE(YEAR+1,May,8-Friday)))</f>
        <v>45793</v>
      </c>
      <c r="N229" s="41"/>
    </row>
    <row r="230" spans="2:14" ht="15" customHeight="1" x14ac:dyDescent="0.25">
      <c r="B230" s="4">
        <v>1604</v>
      </c>
      <c r="C230" t="s">
        <v>121</v>
      </c>
      <c r="D230" s="8" t="s">
        <v>2</v>
      </c>
      <c r="E230" s="8" t="s">
        <v>225</v>
      </c>
      <c r="F230" s="42" t="s">
        <v>122</v>
      </c>
      <c r="G230" s="26"/>
      <c r="H230" s="26"/>
      <c r="I230" s="26"/>
      <c r="J230" s="26"/>
      <c r="K230" s="26"/>
      <c r="L230" s="26" t="s">
        <v>672</v>
      </c>
      <c r="M230" s="5">
        <f>IF(O230&gt;0,O230,DATE(YEAR+1,May,1+7*_3rd_weekday_occurrence)-WEEKDAY(DATE(YEAR+1,May,8-Saturday)))</f>
        <v>45794</v>
      </c>
      <c r="N230" s="43"/>
    </row>
    <row r="231" spans="2:14" ht="15" customHeight="1" x14ac:dyDescent="0.25">
      <c r="B231" s="4">
        <v>1984</v>
      </c>
      <c r="C231" t="s">
        <v>199</v>
      </c>
      <c r="D231" s="8" t="s">
        <v>2</v>
      </c>
      <c r="F231" s="14" t="s">
        <v>122</v>
      </c>
      <c r="G231" s="26"/>
      <c r="H231" s="26"/>
      <c r="I231" s="26"/>
      <c r="J231" s="26"/>
      <c r="K231" s="26"/>
      <c r="L231" s="51" t="s">
        <v>673</v>
      </c>
      <c r="M231" s="5">
        <f>IF(O231&gt;0,O231,DATE(YEAR+1,May,1+7*_3rd_weekday_occurrence)-WEEKDAY(DATE(YEAR+1,May,8-Saturday)))</f>
        <v>45794</v>
      </c>
      <c r="N231" s="43"/>
    </row>
    <row r="232" spans="2:14" ht="15" customHeight="1" x14ac:dyDescent="0.25">
      <c r="B232" s="4">
        <v>4</v>
      </c>
      <c r="C232" t="s">
        <v>123</v>
      </c>
      <c r="D232" s="8" t="s">
        <v>2</v>
      </c>
      <c r="E232" s="8" t="s">
        <v>225</v>
      </c>
      <c r="F232" s="42" t="s">
        <v>124</v>
      </c>
      <c r="G232" s="42"/>
      <c r="H232" s="42"/>
      <c r="I232" s="42"/>
      <c r="J232" s="42"/>
      <c r="K232" s="42"/>
      <c r="L232" t="s">
        <v>708</v>
      </c>
      <c r="M232" s="5">
        <f>IF(O232&gt;0,O232,DATE(YEAR+1,May,1+7*_3rd_weekday_occurrence)-WEEKDAY(DATE(YEAR+1,May,8-Monday)))</f>
        <v>45796</v>
      </c>
      <c r="N232" s="41"/>
    </row>
    <row r="233" spans="2:14" ht="15" customHeight="1" x14ac:dyDescent="0.25">
      <c r="B233" s="4">
        <v>633</v>
      </c>
      <c r="C233" t="s">
        <v>176</v>
      </c>
      <c r="D233" s="8" t="s">
        <v>2</v>
      </c>
      <c r="F233" s="15" t="s">
        <v>124</v>
      </c>
      <c r="G233" s="26"/>
      <c r="H233" s="26"/>
      <c r="I233" s="26"/>
      <c r="J233" s="26"/>
      <c r="K233" s="26"/>
      <c r="L233" t="s">
        <v>693</v>
      </c>
      <c r="M233" s="5">
        <f>IF(O233&gt;0,O233,DATE(YEAR+1,May,1+7*_3rd_weekday_occurrence)-WEEKDAY(DATE(YEAR+1,May,8-Monday)))</f>
        <v>45796</v>
      </c>
      <c r="N233" s="41"/>
    </row>
    <row r="234" spans="2:14" ht="15" customHeight="1" x14ac:dyDescent="0.25">
      <c r="B234" s="4">
        <v>489</v>
      </c>
      <c r="C234" t="s">
        <v>202</v>
      </c>
      <c r="D234" s="8" t="s">
        <v>2</v>
      </c>
      <c r="F234" s="15" t="s">
        <v>466</v>
      </c>
      <c r="G234" s="26"/>
      <c r="H234" s="26"/>
      <c r="I234" s="26"/>
      <c r="J234" s="26"/>
      <c r="K234" s="26"/>
      <c r="L234" t="s">
        <v>708</v>
      </c>
      <c r="M234" s="5">
        <f>IF(O234&gt;0,O234,DATE(YEAR+1,May,1+7*_3rd_weekday_occurrence)-WEEKDAY(DATE(YEAR+1,May,8-Wednesday)))</f>
        <v>45798</v>
      </c>
      <c r="N234" s="41"/>
    </row>
    <row r="235" spans="2:14" ht="15" customHeight="1" x14ac:dyDescent="0.25">
      <c r="B235" s="4">
        <v>1105</v>
      </c>
      <c r="C235" t="s">
        <v>119</v>
      </c>
      <c r="D235" s="8" t="s">
        <v>2</v>
      </c>
      <c r="E235" s="8" t="s">
        <v>225</v>
      </c>
      <c r="F235" s="42" t="s">
        <v>674</v>
      </c>
      <c r="G235" s="26"/>
      <c r="H235" s="26"/>
      <c r="I235" s="26"/>
      <c r="J235" s="26"/>
      <c r="K235" s="26"/>
      <c r="L235" s="42" t="s">
        <v>709</v>
      </c>
      <c r="M235" s="5">
        <f>IF(O235&gt;0,O235,DATE(YEAR+1,May,1+7*_4th_weekday_occurrence)-WEEKDAY(DATE(YEAR+1,May,8-Thursday)))</f>
        <v>45799</v>
      </c>
      <c r="N235" s="41"/>
    </row>
    <row r="236" spans="2:14" ht="15" customHeight="1" x14ac:dyDescent="0.25">
      <c r="B236" s="4">
        <v>1118</v>
      </c>
      <c r="C236" t="s">
        <v>210</v>
      </c>
      <c r="D236" s="8" t="s">
        <v>2</v>
      </c>
      <c r="F236" s="14" t="s">
        <v>491</v>
      </c>
      <c r="G236" s="26"/>
      <c r="H236" s="26"/>
      <c r="I236" s="26"/>
      <c r="J236" s="26"/>
      <c r="K236" s="26"/>
      <c r="L236" t="s">
        <v>709</v>
      </c>
      <c r="M236" s="5">
        <f>IF(O236&gt;0,O236,DATE(YEAR+1,May,1+7*_4th_weekday_occurrence)-WEEKDAY(DATE(YEAR+1,May,8-Thursday)))</f>
        <v>45799</v>
      </c>
      <c r="N236" s="41"/>
    </row>
    <row r="237" spans="2:14" ht="15" customHeight="1" x14ac:dyDescent="0.25">
      <c r="B237" s="4">
        <v>1228</v>
      </c>
      <c r="C237" t="s">
        <v>84</v>
      </c>
      <c r="D237" s="8" t="s">
        <v>2</v>
      </c>
      <c r="F237" s="15" t="s">
        <v>491</v>
      </c>
      <c r="G237" s="26"/>
      <c r="H237" s="26"/>
      <c r="I237" s="26"/>
      <c r="J237" s="26"/>
      <c r="K237" s="26"/>
      <c r="L237" t="s">
        <v>710</v>
      </c>
      <c r="M237" s="5">
        <f>IF(O237&gt;0,O237,DATE(YEAR+1,May,1+7*_4th_weekday_occurrence)-WEEKDAY(DATE(YEAR+1,May,8-Thursday)))</f>
        <v>45799</v>
      </c>
      <c r="N237" s="41"/>
    </row>
    <row r="238" spans="2:14" ht="15" customHeight="1" x14ac:dyDescent="0.25">
      <c r="B238" s="4">
        <v>1771</v>
      </c>
      <c r="C238" t="s">
        <v>125</v>
      </c>
      <c r="D238" s="8" t="s">
        <v>2</v>
      </c>
      <c r="E238" s="8" t="s">
        <v>225</v>
      </c>
      <c r="F238" s="42" t="s">
        <v>126</v>
      </c>
      <c r="G238" s="26"/>
      <c r="H238" s="26"/>
      <c r="I238" s="26"/>
      <c r="J238" s="26"/>
      <c r="K238" s="26"/>
      <c r="L238" t="s">
        <v>693</v>
      </c>
      <c r="M238" s="5">
        <f>IF(O238&gt;0,O238,DATE(YEAR+1,May,1+7*_4th_weekday_occurrence)-WEEKDAY(DATE(YEAR+1,May,8-Friday)))</f>
        <v>45800</v>
      </c>
      <c r="N238" s="41"/>
    </row>
    <row r="239" spans="2:14" ht="15" customHeight="1" x14ac:dyDescent="0.25">
      <c r="B239" s="4">
        <v>652</v>
      </c>
      <c r="C239" t="s">
        <v>127</v>
      </c>
      <c r="D239" s="8" t="s">
        <v>2</v>
      </c>
      <c r="E239" s="8" t="s">
        <v>225</v>
      </c>
      <c r="F239" s="42" t="s">
        <v>128</v>
      </c>
      <c r="G239" s="26"/>
      <c r="H239" s="26"/>
      <c r="I239" s="26"/>
      <c r="J239" s="26"/>
      <c r="K239" s="26"/>
      <c r="L239" s="42" t="s">
        <v>709</v>
      </c>
      <c r="M239" s="5">
        <f>IF(O239&gt;0,O239,DATE(YEAR+1,May,1+7*_4th_weekday_occurrence)-WEEKDAY(DATE(YEAR+1,May,8-Tuesday)))</f>
        <v>45804</v>
      </c>
      <c r="N239" s="41"/>
    </row>
    <row r="240" spans="2:14" ht="15" customHeight="1" x14ac:dyDescent="0.25">
      <c r="B240" s="4">
        <v>897</v>
      </c>
      <c r="C240" t="s">
        <v>167</v>
      </c>
      <c r="D240" s="8" t="s">
        <v>2</v>
      </c>
      <c r="F240" s="14" t="s">
        <v>128</v>
      </c>
      <c r="G240" s="26"/>
      <c r="H240" s="26"/>
      <c r="I240" s="26"/>
      <c r="J240" s="26"/>
      <c r="K240" s="26"/>
      <c r="L240" s="5" t="s">
        <v>710</v>
      </c>
      <c r="M240" s="5">
        <f>IF(O240&gt;0,O240,DATE(YEAR+1,May,1+7*_4th_weekday_occurrence)-WEEKDAY(DATE(YEAR+1,May,8-Tuesday)))</f>
        <v>45804</v>
      </c>
      <c r="N240" s="41"/>
    </row>
    <row r="241" spans="2:14" ht="15" customHeight="1" x14ac:dyDescent="0.25">
      <c r="B241" s="4">
        <v>1091</v>
      </c>
      <c r="C241" t="s">
        <v>55</v>
      </c>
      <c r="D241" s="8" t="s">
        <v>2</v>
      </c>
      <c r="F241" s="15" t="s">
        <v>128</v>
      </c>
      <c r="G241" s="26"/>
      <c r="H241" s="26"/>
      <c r="I241" s="26"/>
      <c r="J241" s="26"/>
      <c r="K241" s="26"/>
      <c r="L241" s="42" t="s">
        <v>710</v>
      </c>
      <c r="M241" s="5">
        <f>IF(O241&gt;0,O241,DATE(YEAR+1,May,1+7*_4th_weekday_occurrence)-WEEKDAY(DATE(YEAR+1,May,8-Tuesday)))</f>
        <v>45804</v>
      </c>
      <c r="N241" s="41"/>
    </row>
    <row r="242" spans="2:14" ht="15" customHeight="1" x14ac:dyDescent="0.25">
      <c r="B242" s="4">
        <v>1124</v>
      </c>
      <c r="C242" t="s">
        <v>74</v>
      </c>
      <c r="D242" s="8" t="s">
        <v>2</v>
      </c>
      <c r="F242" s="15" t="s">
        <v>492</v>
      </c>
      <c r="G242" s="26"/>
      <c r="H242" s="26"/>
      <c r="I242" s="26"/>
      <c r="J242" s="26"/>
      <c r="K242" s="26"/>
      <c r="L242" s="5" t="s">
        <v>710</v>
      </c>
      <c r="M242" s="5">
        <f>IF(O242&gt;0,O242,DATE(YEAR+1,May,1+7*_4th_weekday_occurrence)-WEEKDAY(DATE(YEAR+1,May,8-Wednesday)))</f>
        <v>45805</v>
      </c>
      <c r="N242" s="41"/>
    </row>
    <row r="243" spans="2:14" ht="15" customHeight="1" x14ac:dyDescent="0.25">
      <c r="B243" s="4">
        <v>791</v>
      </c>
      <c r="C243" t="s">
        <v>129</v>
      </c>
      <c r="D243" s="8" t="s">
        <v>2</v>
      </c>
      <c r="E243" s="8" t="s">
        <v>225</v>
      </c>
      <c r="F243" s="42" t="s">
        <v>130</v>
      </c>
      <c r="G243" s="26"/>
      <c r="H243" s="26"/>
      <c r="I243" s="26"/>
      <c r="J243" s="26"/>
      <c r="K243" s="26"/>
      <c r="L243" t="s">
        <v>709</v>
      </c>
      <c r="M243" s="5">
        <f>IF(O243&gt;0,O243,DATE(YEAR+1,June,1+7*_1st_weekday_occurrence)-WEEKDAY(DATE(YEAR+1,June,8-Wednesday)))</f>
        <v>45812</v>
      </c>
      <c r="N243" s="41"/>
    </row>
    <row r="244" spans="2:14" ht="15" customHeight="1" x14ac:dyDescent="0.25">
      <c r="B244" s="4">
        <v>1748</v>
      </c>
      <c r="C244" t="s">
        <v>23</v>
      </c>
      <c r="D244" s="8" t="s">
        <v>2</v>
      </c>
      <c r="F244" s="15" t="s">
        <v>130</v>
      </c>
      <c r="G244" s="26"/>
      <c r="H244" s="26"/>
      <c r="I244" s="26"/>
      <c r="J244" s="26"/>
      <c r="K244" s="26"/>
      <c r="L244" s="42" t="s">
        <v>709</v>
      </c>
      <c r="M244" s="5">
        <f>IF(O244&gt;0,O244,DATE(YEAR+1,June,1+7*_1st_weekday_occurrence)-WEEKDAY(DATE(YEAR+1,June,8-Wednesday)))</f>
        <v>45812</v>
      </c>
      <c r="N244" s="41"/>
    </row>
    <row r="245" spans="2:14" ht="15" customHeight="1" x14ac:dyDescent="0.25">
      <c r="B245" s="4">
        <v>1870</v>
      </c>
      <c r="C245" t="s">
        <v>215</v>
      </c>
      <c r="D245" s="8" t="s">
        <v>2</v>
      </c>
      <c r="F245" t="s">
        <v>508</v>
      </c>
      <c r="G245" s="5"/>
      <c r="H245" s="5"/>
      <c r="I245" s="5"/>
      <c r="J245" s="5"/>
      <c r="K245" s="5"/>
      <c r="L245" s="5" t="s">
        <v>672</v>
      </c>
      <c r="M245" s="5">
        <f>IF(O245&gt;0,O245,DATE(YEAR+1,June,1+7*_1st_weekday_occurrence)-WEEKDAY(DATE(YEAR+1,June,8-Thursday)))</f>
        <v>45813</v>
      </c>
      <c r="N245" s="41"/>
    </row>
    <row r="246" spans="2:14" ht="15" customHeight="1" x14ac:dyDescent="0.25">
      <c r="B246" s="4">
        <v>1200</v>
      </c>
      <c r="C246" t="s">
        <v>131</v>
      </c>
      <c r="D246" s="8" t="s">
        <v>2</v>
      </c>
      <c r="E246" s="8" t="s">
        <v>225</v>
      </c>
      <c r="F246" s="42" t="s">
        <v>132</v>
      </c>
      <c r="G246" s="26"/>
      <c r="H246" s="26"/>
      <c r="I246" s="26"/>
      <c r="J246" s="26"/>
      <c r="K246" s="26"/>
      <c r="L246" s="42" t="s">
        <v>710</v>
      </c>
      <c r="M246" s="5">
        <f>IF(O246&gt;0,O246,DATE(YEAR+1,June,1+7*_2nd_weekday_occurrence)-WEEKDAY(DATE(YEAR+1,June,8-Monday)))</f>
        <v>45817</v>
      </c>
      <c r="N246" s="41"/>
    </row>
    <row r="247" spans="2:14" ht="15" customHeight="1" x14ac:dyDescent="0.25">
      <c r="B247" s="4">
        <v>1467</v>
      </c>
      <c r="C247" t="s">
        <v>190</v>
      </c>
      <c r="D247" s="8" t="s">
        <v>2</v>
      </c>
      <c r="F247" s="15" t="s">
        <v>132</v>
      </c>
      <c r="G247" s="26"/>
      <c r="H247" s="26"/>
      <c r="I247" s="26"/>
      <c r="J247" s="26"/>
      <c r="K247" s="26"/>
      <c r="L247" s="51" t="s">
        <v>673</v>
      </c>
      <c r="M247" s="5">
        <f>IF(O247&gt;0,O247,DATE(YEAR+1,June,1+7*_2nd_weekday_occurrence)-WEEKDAY(DATE(YEAR+1,June,8-Monday)))</f>
        <v>45817</v>
      </c>
      <c r="N247" s="41"/>
    </row>
    <row r="248" spans="2:14" ht="15" customHeight="1" x14ac:dyDescent="0.25">
      <c r="B248" s="4">
        <v>1534</v>
      </c>
      <c r="C248" t="s">
        <v>159</v>
      </c>
      <c r="D248" s="8" t="s">
        <v>2</v>
      </c>
      <c r="F248" s="15" t="s">
        <v>132</v>
      </c>
      <c r="G248" s="26"/>
      <c r="H248" s="26"/>
      <c r="I248" s="26"/>
      <c r="J248" s="26"/>
      <c r="K248" s="26"/>
      <c r="L248" s="51" t="s">
        <v>693</v>
      </c>
      <c r="M248" s="5">
        <f>IF(O248&gt;0,O248,DATE(YEAR+1,June,1+7*_2nd_weekday_occurrence)-WEEKDAY(DATE(YEAR+1,June,8-Monday)))</f>
        <v>45817</v>
      </c>
      <c r="N248" s="41"/>
    </row>
    <row r="249" spans="2:14" x14ac:dyDescent="0.25">
      <c r="B249" s="4">
        <v>1473</v>
      </c>
      <c r="C249" t="s">
        <v>101</v>
      </c>
      <c r="D249" s="8" t="s">
        <v>2</v>
      </c>
      <c r="F249" s="15" t="s">
        <v>502</v>
      </c>
      <c r="G249" s="26"/>
      <c r="H249" s="26"/>
      <c r="I249" s="26"/>
      <c r="J249" s="26"/>
      <c r="K249" s="26"/>
      <c r="L249" s="26" t="s">
        <v>672</v>
      </c>
      <c r="M249" s="5">
        <f>IF(O249&gt;0,O249,DATE(YEAR+1,June,1+7*_2nd_weekday_occurrence)-WEEKDAY(DATE(YEAR+1,June,8-Wednesday)))</f>
        <v>45819</v>
      </c>
      <c r="N249" s="41"/>
    </row>
    <row r="250" spans="2:14" x14ac:dyDescent="0.25">
      <c r="B250" s="4">
        <v>363</v>
      </c>
      <c r="C250" t="s">
        <v>133</v>
      </c>
      <c r="D250" s="8" t="s">
        <v>2</v>
      </c>
      <c r="E250" s="8" t="s">
        <v>225</v>
      </c>
      <c r="F250" t="s">
        <v>134</v>
      </c>
      <c r="L250" s="26" t="s">
        <v>672</v>
      </c>
      <c r="M250" s="44">
        <f>IF(O250&gt;0,O250,DATE(YEAR+1,June,1+1+7*_2nd_weekday_occurrence)-WEEKDAY(DATE(YEAR+1,June,8-Wednesday)))</f>
        <v>45820</v>
      </c>
      <c r="N250" s="41"/>
    </row>
    <row r="251" spans="2:14" x14ac:dyDescent="0.25">
      <c r="B251" s="4">
        <v>1160</v>
      </c>
      <c r="C251" t="s">
        <v>78</v>
      </c>
      <c r="D251" s="8" t="s">
        <v>2</v>
      </c>
      <c r="F251" s="15" t="s">
        <v>494</v>
      </c>
      <c r="G251" s="26"/>
      <c r="H251" s="26"/>
      <c r="I251" s="26"/>
      <c r="J251" s="26"/>
      <c r="K251" s="26"/>
      <c r="L251" t="s">
        <v>693</v>
      </c>
      <c r="M251" s="5">
        <f>IF(O251&gt;0,O251,DATE(YEAR+1,June,1+7*_2nd_weekday_occurrence)-WEEKDAY(DATE(YEAR+1,June,8-Thursday)))</f>
        <v>45820</v>
      </c>
      <c r="N251" s="41"/>
    </row>
    <row r="252" spans="2:14" x14ac:dyDescent="0.25">
      <c r="B252" s="4">
        <v>1767</v>
      </c>
      <c r="C252" t="s">
        <v>171</v>
      </c>
      <c r="D252" s="8" t="s">
        <v>2</v>
      </c>
      <c r="F252" s="14" t="s">
        <v>494</v>
      </c>
      <c r="G252" s="26"/>
      <c r="H252" s="26"/>
      <c r="I252" s="26"/>
      <c r="J252" s="26"/>
      <c r="K252" s="26"/>
      <c r="L252" s="42" t="s">
        <v>709</v>
      </c>
      <c r="M252" s="5">
        <f>IF(O252&gt;0,O252,DATE(YEAR+1,June,1+7*_2nd_weekday_occurrence)-WEEKDAY(DATE(YEAR+1,June,8-Thursday)))</f>
        <v>45820</v>
      </c>
      <c r="N252" s="41"/>
    </row>
    <row r="253" spans="2:14" x14ac:dyDescent="0.25">
      <c r="B253" s="4">
        <v>1457</v>
      </c>
      <c r="C253" t="s">
        <v>161</v>
      </c>
      <c r="D253" s="8" t="s">
        <v>2</v>
      </c>
      <c r="F253" s="15" t="s">
        <v>501</v>
      </c>
      <c r="G253" s="26"/>
      <c r="H253" s="26"/>
      <c r="I253" s="26"/>
      <c r="J253" s="26"/>
      <c r="K253" s="26"/>
      <c r="L253" t="s">
        <v>693</v>
      </c>
      <c r="M253" s="5">
        <f>IF(O253&gt;0,O253,DATE(YEAR+1,June,1+7*_2nd_weekday_occurrence)-WEEKDAY(DATE(YEAR+1,June,8-Friday)))</f>
        <v>45821</v>
      </c>
      <c r="N253" s="41"/>
    </row>
    <row r="254" spans="2:14" x14ac:dyDescent="0.25">
      <c r="B254" s="4">
        <v>616</v>
      </c>
      <c r="C254" t="s">
        <v>42</v>
      </c>
      <c r="D254" s="8" t="s">
        <v>2</v>
      </c>
      <c r="F254" s="15" t="s">
        <v>468</v>
      </c>
      <c r="G254" s="26"/>
      <c r="H254" s="26"/>
      <c r="I254" s="26"/>
      <c r="J254" s="26"/>
      <c r="K254" s="26"/>
      <c r="L254" s="51" t="s">
        <v>673</v>
      </c>
      <c r="M254" s="5">
        <f>IF(O254&gt;0,O254,DATE(YEAR+1,June,1+7*_2nd_weekday_occurrence)-WEEKDAY(DATE(YEAR+1,June,8-Saturday)))</f>
        <v>45822</v>
      </c>
      <c r="N254" s="41"/>
    </row>
    <row r="255" spans="2:14" x14ac:dyDescent="0.25">
      <c r="B255" s="4">
        <v>454</v>
      </c>
      <c r="C255" t="s">
        <v>135</v>
      </c>
      <c r="D255" s="8" t="s">
        <v>2</v>
      </c>
      <c r="E255" s="8" t="s">
        <v>225</v>
      </c>
      <c r="F255" s="42" t="s">
        <v>136</v>
      </c>
      <c r="G255" s="26"/>
      <c r="H255" s="26"/>
      <c r="I255" s="26"/>
      <c r="J255" s="26"/>
      <c r="K255" s="26"/>
      <c r="L255" s="51" t="s">
        <v>673</v>
      </c>
      <c r="M255" s="5">
        <f>IF(O255&gt;0,O255,DATE(YEAR+1,June,1+7*_3rd_weekday_occurrence)-WEEKDAY(DATE(YEAR+1,June,8-Monday)))</f>
        <v>45824</v>
      </c>
      <c r="N255" s="41"/>
    </row>
    <row r="256" spans="2:14" x14ac:dyDescent="0.25">
      <c r="B256" s="4">
        <v>459</v>
      </c>
      <c r="C256" t="s">
        <v>137</v>
      </c>
      <c r="D256" s="8" t="s">
        <v>2</v>
      </c>
      <c r="E256" s="8" t="s">
        <v>225</v>
      </c>
      <c r="F256" s="42" t="s">
        <v>136</v>
      </c>
      <c r="G256" s="26"/>
      <c r="H256" s="26"/>
      <c r="I256" s="26"/>
      <c r="J256" s="26"/>
      <c r="K256" s="26"/>
      <c r="L256" s="42" t="s">
        <v>672</v>
      </c>
      <c r="M256" s="5">
        <f>IF(O256&gt;0,O256,DATE(YEAR+1,June,1+7*_3rd_weekday_occurrence)-WEEKDAY(DATE(YEAR+1,June,8-Monday)))</f>
        <v>45824</v>
      </c>
      <c r="N256" s="41"/>
    </row>
    <row r="257" spans="2:14" x14ac:dyDescent="0.25">
      <c r="B257" s="4">
        <v>1071</v>
      </c>
      <c r="C257" t="s">
        <v>141</v>
      </c>
      <c r="D257" s="8" t="s">
        <v>2</v>
      </c>
      <c r="E257" s="8" t="s">
        <v>225</v>
      </c>
      <c r="F257" s="42" t="s">
        <v>140</v>
      </c>
      <c r="G257" s="26"/>
      <c r="H257" s="26"/>
      <c r="I257" s="26"/>
      <c r="J257" s="26"/>
      <c r="K257" s="26"/>
      <c r="L257" t="s">
        <v>710</v>
      </c>
      <c r="M257" s="5">
        <f>IF(O257&gt;0,O257,DATE(YEAR+1,June,1+7*_3rd_weekday_occurrence)-WEEKDAY(DATE(YEAR+1,June,8-Tuesday)))</f>
        <v>45825</v>
      </c>
      <c r="N257" s="41"/>
    </row>
    <row r="258" spans="2:14" x14ac:dyDescent="0.25">
      <c r="B258" s="4" t="s">
        <v>138</v>
      </c>
      <c r="C258" t="s">
        <v>139</v>
      </c>
      <c r="D258" s="8" t="s">
        <v>2</v>
      </c>
      <c r="E258" s="8" t="s">
        <v>225</v>
      </c>
      <c r="F258" s="42" t="s">
        <v>140</v>
      </c>
      <c r="G258" s="26"/>
      <c r="H258" s="26"/>
      <c r="I258" s="26"/>
      <c r="J258" s="26"/>
      <c r="K258" s="26"/>
      <c r="L258" s="51" t="s">
        <v>673</v>
      </c>
      <c r="M258" s="5">
        <f>IF(O258&gt;0,O258,DATE(YEAR+1,June,1+7*_3rd_weekday_occurrence)-WEEKDAY(DATE(YEAR+1,June,8-Tuesday)))</f>
        <v>45825</v>
      </c>
    </row>
    <row r="259" spans="2:14" x14ac:dyDescent="0.25">
      <c r="B259" s="4">
        <v>987</v>
      </c>
      <c r="C259" t="s">
        <v>173</v>
      </c>
      <c r="D259" s="8" t="s">
        <v>2</v>
      </c>
      <c r="F259" s="15" t="s">
        <v>484</v>
      </c>
      <c r="G259" s="26"/>
      <c r="H259" s="26"/>
      <c r="I259" s="26"/>
      <c r="J259" s="26"/>
      <c r="K259" s="26"/>
      <c r="L259" s="26" t="s">
        <v>672</v>
      </c>
      <c r="M259" s="5">
        <f>IF(O259&gt;0,O259,DATE(YEAR+1,June,1+7*_3rd_weekday_occurrence)-WEEKDAY(DATE(YEAR+1,June,8-Wednesday)))</f>
        <v>45826</v>
      </c>
      <c r="N259" s="41"/>
    </row>
    <row r="260" spans="2:14" x14ac:dyDescent="0.25">
      <c r="B260" s="4">
        <v>1152</v>
      </c>
      <c r="C260" t="s">
        <v>155</v>
      </c>
      <c r="D260" s="8" t="s">
        <v>2</v>
      </c>
      <c r="F260" s="15" t="s">
        <v>484</v>
      </c>
      <c r="G260" s="26"/>
      <c r="H260" s="26"/>
      <c r="I260" s="26"/>
      <c r="J260" s="26"/>
      <c r="K260" s="26"/>
      <c r="L260" s="5" t="s">
        <v>672</v>
      </c>
      <c r="M260" s="5">
        <f>IF(O260&gt;0,O260,DATE(YEAR+1,June,1+7*_3rd_weekday_occurrence)-WEEKDAY(DATE(YEAR+1,June,8-Wednesday)))</f>
        <v>45826</v>
      </c>
      <c r="N260" s="41"/>
    </row>
    <row r="261" spans="2:14" x14ac:dyDescent="0.25">
      <c r="B261" s="4">
        <v>239</v>
      </c>
      <c r="C261" t="s">
        <v>12</v>
      </c>
      <c r="D261" s="8" t="s">
        <v>2</v>
      </c>
      <c r="F261" s="15" t="s">
        <v>453</v>
      </c>
      <c r="G261" s="26"/>
      <c r="H261" s="26"/>
      <c r="I261" s="26"/>
      <c r="J261" s="26"/>
      <c r="K261" s="26"/>
      <c r="L261" s="51" t="s">
        <v>673</v>
      </c>
      <c r="M261" s="44">
        <f>IF(O261&gt;0,O261,DATE(YEAR+1,June,1+7*_3rd_weekday_occurrence)-WEEKDAY(DATE(YEAR+1,June,8-Thursday)))</f>
        <v>45827</v>
      </c>
      <c r="N261" s="41"/>
    </row>
    <row r="262" spans="2:14" x14ac:dyDescent="0.25">
      <c r="B262" s="4">
        <v>399</v>
      </c>
      <c r="C262" t="s">
        <v>18</v>
      </c>
      <c r="D262" s="8" t="s">
        <v>2</v>
      </c>
      <c r="F262" s="15" t="s">
        <v>453</v>
      </c>
      <c r="G262" s="26"/>
      <c r="H262" s="26"/>
      <c r="I262" s="26"/>
      <c r="J262" s="26"/>
      <c r="K262" s="26"/>
      <c r="L262" s="26" t="s">
        <v>672</v>
      </c>
      <c r="M262" s="5">
        <f>IF(O262&gt;0,O262,DATE(YEAR+1,June,1+7*_3rd_weekday_occurrence)-WEEKDAY(DATE(YEAR+1,June,8-Thursday)))</f>
        <v>45827</v>
      </c>
      <c r="N262" s="41"/>
    </row>
    <row r="263" spans="2:14" x14ac:dyDescent="0.25">
      <c r="B263" s="4">
        <v>728</v>
      </c>
      <c r="C263" t="s">
        <v>86</v>
      </c>
      <c r="D263" s="8" t="s">
        <v>2</v>
      </c>
      <c r="F263" s="15" t="s">
        <v>473</v>
      </c>
      <c r="G263" s="26"/>
      <c r="H263" s="26"/>
      <c r="I263" s="26"/>
      <c r="J263" s="26"/>
      <c r="K263" s="26"/>
      <c r="L263" t="s">
        <v>708</v>
      </c>
      <c r="M263" s="5">
        <f>IF(O263&gt;0,O263,DATE(YEAR+1,June,1+7*_3rd_weekday_occurrence)-WEEKDAY(DATE(YEAR+1,June,8-Friday)))</f>
        <v>45828</v>
      </c>
      <c r="N263" s="41"/>
    </row>
    <row r="264" spans="2:14" x14ac:dyDescent="0.25">
      <c r="B264" s="4">
        <v>997</v>
      </c>
      <c r="C264" t="s">
        <v>88</v>
      </c>
      <c r="D264" s="8" t="s">
        <v>2</v>
      </c>
      <c r="F264" s="42" t="s">
        <v>473</v>
      </c>
      <c r="G264" s="26"/>
      <c r="H264" s="26"/>
      <c r="I264" s="26"/>
      <c r="J264" s="26"/>
      <c r="K264" s="26"/>
      <c r="L264" t="s">
        <v>710</v>
      </c>
      <c r="M264" s="5">
        <f>IF(O264&gt;0,O264,DATE(YEAR+1,June,1+7*_3rd_weekday_occurrence)-WEEKDAY(DATE(YEAR+1,June,8-Friday)))</f>
        <v>45828</v>
      </c>
      <c r="N264" s="41"/>
    </row>
    <row r="265" spans="2:14" x14ac:dyDescent="0.25">
      <c r="B265" s="4">
        <v>1989</v>
      </c>
      <c r="C265" t="s">
        <v>113</v>
      </c>
      <c r="D265" s="8" t="s">
        <v>2</v>
      </c>
      <c r="F265" s="15" t="s">
        <v>473</v>
      </c>
      <c r="G265" s="26"/>
      <c r="H265" s="26"/>
      <c r="I265" s="26"/>
      <c r="J265" s="26"/>
      <c r="K265" s="26"/>
      <c r="L265" t="s">
        <v>693</v>
      </c>
      <c r="M265" s="5">
        <f>IF(O265&gt;0,O265,DATE(YEAR+1,June,1+7*_3rd_weekday_occurrence)-WEEKDAY(DATE(YEAR+1,June,8-Friday)))</f>
        <v>45828</v>
      </c>
      <c r="N265" s="41"/>
    </row>
    <row r="266" spans="2:14" x14ac:dyDescent="0.25">
      <c r="B266" s="4">
        <v>176</v>
      </c>
      <c r="C266" t="s">
        <v>188</v>
      </c>
      <c r="D266" s="8" t="s">
        <v>2</v>
      </c>
      <c r="F266" s="14" t="s">
        <v>446</v>
      </c>
      <c r="G266" s="26"/>
      <c r="H266" s="26"/>
      <c r="I266" s="26"/>
      <c r="J266" s="26"/>
      <c r="K266" s="26"/>
      <c r="L266" s="5" t="s">
        <v>709</v>
      </c>
      <c r="M266" s="5">
        <f>IF(O266&gt;0,O266,DATE(YEAR+1,June,1+7*_3rd_weekday_occurrence)-WEEKDAY(DATE(YEAR+1,June,8-Saturday)))</f>
        <v>45829</v>
      </c>
      <c r="N266" s="41"/>
    </row>
    <row r="267" spans="2:14" x14ac:dyDescent="0.25">
      <c r="B267" s="4">
        <v>411</v>
      </c>
      <c r="C267" t="s">
        <v>69</v>
      </c>
      <c r="D267" s="8" t="s">
        <v>2</v>
      </c>
      <c r="F267" s="15" t="s">
        <v>143</v>
      </c>
      <c r="G267" s="26"/>
      <c r="H267" s="26"/>
      <c r="I267" s="26"/>
      <c r="J267" s="26"/>
      <c r="K267" s="26"/>
      <c r="L267" s="42" t="s">
        <v>709</v>
      </c>
      <c r="M267" s="5">
        <f>IF(O267&gt;0,O267,DATE(YEAR+1,June,1+7*_4th_weekday_occurrence)-WEEKDAY(DATE(YEAR+1,June,8-Monday)))</f>
        <v>45831</v>
      </c>
      <c r="N267" s="41"/>
    </row>
    <row r="268" spans="2:14" x14ac:dyDescent="0.25">
      <c r="B268" s="4">
        <v>458</v>
      </c>
      <c r="C268" t="s">
        <v>72</v>
      </c>
      <c r="D268" s="8" t="s">
        <v>2</v>
      </c>
      <c r="F268" s="15" t="s">
        <v>143</v>
      </c>
      <c r="G268" s="26"/>
      <c r="H268" s="26"/>
      <c r="I268" s="26"/>
      <c r="J268" s="26"/>
      <c r="K268" s="26"/>
      <c r="L268" s="51" t="s">
        <v>673</v>
      </c>
      <c r="M268" s="5">
        <f>IF(O268&gt;0,O268,DATE(YEAR+1,June,1+7*_4th_weekday_occurrence)-WEEKDAY(DATE(YEAR+1,June,8-Monday)))</f>
        <v>45831</v>
      </c>
      <c r="N268" s="41"/>
    </row>
    <row r="269" spans="2:14" x14ac:dyDescent="0.25">
      <c r="B269" s="4">
        <v>786</v>
      </c>
      <c r="C269" t="s">
        <v>142</v>
      </c>
      <c r="D269" s="8" t="s">
        <v>2</v>
      </c>
      <c r="E269" s="8" t="s">
        <v>225</v>
      </c>
      <c r="F269" s="42" t="s">
        <v>143</v>
      </c>
      <c r="G269" s="26"/>
      <c r="H269" s="26"/>
      <c r="I269" s="26"/>
      <c r="J269" s="26"/>
      <c r="K269" s="26"/>
      <c r="L269" t="s">
        <v>693</v>
      </c>
      <c r="M269" s="5">
        <f>IF(O269&gt;0,O269,DATE(YEAR+1,June,1+7*_4th_weekday_occurrence)-WEEKDAY(DATE(YEAR+1,June,8-Monday)))</f>
        <v>45831</v>
      </c>
      <c r="N269" s="41"/>
    </row>
    <row r="270" spans="2:14" x14ac:dyDescent="0.25">
      <c r="B270" s="4">
        <v>418</v>
      </c>
      <c r="C270" t="s">
        <v>91</v>
      </c>
      <c r="D270" s="8" t="s">
        <v>2</v>
      </c>
      <c r="F270" s="15" t="s">
        <v>717</v>
      </c>
      <c r="L270" s="51" t="s">
        <v>709</v>
      </c>
      <c r="M270" s="56">
        <f>IF(O270&gt;0,O270,DATE(YEAR+1,June,1+7*_4th_weekday_occurrence)-WEEKDAY(DATE(YEAR+1,June,8-Tuesday)))</f>
        <v>45832</v>
      </c>
    </row>
    <row r="271" spans="2:14" x14ac:dyDescent="0.25">
      <c r="B271" s="4">
        <v>801</v>
      </c>
      <c r="C271" t="s">
        <v>6</v>
      </c>
      <c r="D271" s="8" t="s">
        <v>2</v>
      </c>
      <c r="F271" s="15" t="s">
        <v>145</v>
      </c>
      <c r="G271" s="26"/>
      <c r="H271" s="26"/>
      <c r="I271" s="26"/>
      <c r="J271" s="26"/>
      <c r="K271" s="26"/>
      <c r="L271" s="42" t="s">
        <v>708</v>
      </c>
      <c r="M271" s="5">
        <f>IF(O271&gt;0,O271,DATE(YEAR+1,June,1+7*_4th_weekday_occurrence)-WEEKDAY(DATE(YEAR+1,June,8-Tuesday)))</f>
        <v>45832</v>
      </c>
      <c r="N271" s="41"/>
    </row>
    <row r="272" spans="2:14" x14ac:dyDescent="0.25">
      <c r="B272" s="4">
        <v>1994</v>
      </c>
      <c r="C272" t="s">
        <v>185</v>
      </c>
      <c r="D272" s="8" t="s">
        <v>2</v>
      </c>
      <c r="F272" s="15" t="s">
        <v>145</v>
      </c>
      <c r="G272" s="26"/>
      <c r="H272" s="26"/>
      <c r="I272" s="26"/>
      <c r="J272" s="26"/>
      <c r="K272" s="26"/>
      <c r="L272" s="51" t="s">
        <v>673</v>
      </c>
      <c r="M272" s="5">
        <f>IF(O272&gt;0,O272,DATE(YEAR+1,June,1+7*_4th_weekday_occurrence)-WEEKDAY(DATE(YEAR+1,June,8-Tuesday)))</f>
        <v>45832</v>
      </c>
      <c r="N272" s="41"/>
    </row>
    <row r="273" spans="2:14" x14ac:dyDescent="0.25">
      <c r="B273" s="4">
        <v>2003</v>
      </c>
      <c r="C273" t="s">
        <v>144</v>
      </c>
      <c r="D273" s="8" t="s">
        <v>2</v>
      </c>
      <c r="E273" s="8" t="s">
        <v>225</v>
      </c>
      <c r="F273" s="42" t="s">
        <v>145</v>
      </c>
      <c r="G273" s="26"/>
      <c r="H273" s="26"/>
      <c r="I273" s="26"/>
      <c r="J273" s="26"/>
      <c r="K273" s="26"/>
      <c r="L273" s="5" t="s">
        <v>672</v>
      </c>
      <c r="M273" s="5">
        <f>IF(O273&gt;0,O273,DATE(YEAR+1,June,1+7*_4th_weekday_occurrence)-WEEKDAY(DATE(YEAR+1,June,8-Tuesday)))</f>
        <v>45832</v>
      </c>
    </row>
    <row r="274" spans="2:14" x14ac:dyDescent="0.25">
      <c r="B274" s="4">
        <v>238</v>
      </c>
      <c r="C274" t="s">
        <v>146</v>
      </c>
      <c r="D274" s="8" t="s">
        <v>2</v>
      </c>
      <c r="E274" s="8" t="s">
        <v>225</v>
      </c>
      <c r="F274" s="42" t="s">
        <v>147</v>
      </c>
      <c r="G274" s="26"/>
      <c r="H274" s="26"/>
      <c r="I274" s="26"/>
      <c r="J274" s="26"/>
      <c r="K274" s="26"/>
      <c r="L274" t="s">
        <v>708</v>
      </c>
      <c r="M274" s="44">
        <f>IF(O274&gt;0,O274,DATE(YEAR+1,June,1+7*_4th_weekday_occurrence)-WEEKDAY(DATE(YEAR+1,June,8-Wednesday)))</f>
        <v>45833</v>
      </c>
      <c r="N274" s="41"/>
    </row>
    <row r="275" spans="2:14" x14ac:dyDescent="0.25">
      <c r="B275" s="4">
        <v>1638</v>
      </c>
      <c r="C275" t="s">
        <v>75</v>
      </c>
      <c r="D275" s="8" t="s">
        <v>2</v>
      </c>
      <c r="F275" s="15" t="s">
        <v>147</v>
      </c>
      <c r="G275" s="26"/>
      <c r="H275" s="26"/>
      <c r="I275" s="26"/>
      <c r="J275" s="26"/>
      <c r="K275" s="26"/>
      <c r="L275" t="s">
        <v>672</v>
      </c>
      <c r="M275" s="44">
        <f>IF(O275&gt;0,O275,DATE(YEAR+1,June,1+7*_4th_weekday_occurrence)-WEEKDAY(DATE(YEAR+1,June,8-Wednesday)))</f>
        <v>45833</v>
      </c>
      <c r="N275" s="41"/>
    </row>
    <row r="276" spans="2:14" x14ac:dyDescent="0.25">
      <c r="B276" s="4">
        <v>1909</v>
      </c>
      <c r="C276" t="s">
        <v>102</v>
      </c>
      <c r="D276" s="8" t="s">
        <v>2</v>
      </c>
      <c r="F276" s="15" t="s">
        <v>513</v>
      </c>
      <c r="G276" s="26"/>
      <c r="H276" s="26"/>
      <c r="I276" s="26"/>
      <c r="J276" s="26"/>
      <c r="K276" s="26"/>
      <c r="L276" s="5" t="s">
        <v>710</v>
      </c>
      <c r="M276" s="5">
        <f>IF(O276&gt;0,O276,DATE(YEAR+1,June,1+7*_4th_weekday_occurrence)-WEEKDAY(DATE(YEAR+1,June,8-Saturday)))</f>
        <v>45836</v>
      </c>
      <c r="N276" s="41"/>
    </row>
    <row r="277" spans="2:14" x14ac:dyDescent="0.25">
      <c r="B277" s="4">
        <v>361</v>
      </c>
      <c r="C277" t="s">
        <v>208</v>
      </c>
      <c r="D277" s="8" t="s">
        <v>2</v>
      </c>
      <c r="F277" s="14" t="s">
        <v>456</v>
      </c>
      <c r="G277" s="26"/>
      <c r="H277" s="26"/>
      <c r="I277" s="26"/>
      <c r="J277" s="26"/>
      <c r="K277" s="26"/>
      <c r="L277" s="51" t="s">
        <v>673</v>
      </c>
      <c r="M277" s="44">
        <f>IF(O277&gt;0,O277,DATE(YEAR+1,July,1+7*_1st_weekday_occurrence)-WEEKDAY(DATE(YEAR+1,July,8-Tuesday)))</f>
        <v>45839</v>
      </c>
      <c r="N277" s="41"/>
    </row>
    <row r="278" spans="2:14" x14ac:dyDescent="0.25">
      <c r="B278" s="4">
        <v>1953</v>
      </c>
      <c r="C278" t="s">
        <v>148</v>
      </c>
      <c r="D278" s="8" t="s">
        <v>2</v>
      </c>
      <c r="E278" s="8" t="s">
        <v>225</v>
      </c>
      <c r="F278" s="42" t="s">
        <v>149</v>
      </c>
      <c r="G278" s="26"/>
      <c r="H278" s="26"/>
      <c r="I278" s="26"/>
      <c r="J278" s="26"/>
      <c r="K278" s="26"/>
      <c r="L278" s="5" t="s">
        <v>693</v>
      </c>
      <c r="M278" s="5">
        <f>IF(O278&gt;0,O278,DATE(YEAR+1,July,1+7*_1st_weekday_occurrence)-WEEKDAY(DATE(YEAR+1,July,8-Saturday)))</f>
        <v>45843</v>
      </c>
      <c r="N278" s="41"/>
    </row>
    <row r="279" spans="2:14" x14ac:dyDescent="0.25">
      <c r="B279" s="4">
        <v>830</v>
      </c>
      <c r="C279" t="s">
        <v>150</v>
      </c>
      <c r="D279" s="8" t="s">
        <v>2</v>
      </c>
      <c r="E279" s="8" t="s">
        <v>225</v>
      </c>
      <c r="F279" s="42" t="s">
        <v>151</v>
      </c>
      <c r="G279" s="26"/>
      <c r="H279" s="26"/>
      <c r="I279" s="26"/>
      <c r="J279" s="26"/>
      <c r="K279" s="26"/>
      <c r="L279" s="51" t="s">
        <v>673</v>
      </c>
      <c r="M279" s="5">
        <f>IF(O279&gt;0,O279,DATE(YEAR+1,July,1+7*_1st_weekday_occurrence)-WEEKDAY(DATE(YEAR+1,July,8-Monday)))</f>
        <v>45845</v>
      </c>
      <c r="N279" s="41"/>
    </row>
    <row r="280" spans="2:14" x14ac:dyDescent="0.25">
      <c r="B280" s="4">
        <v>1313</v>
      </c>
      <c r="C280" t="s">
        <v>152</v>
      </c>
      <c r="D280" s="8" t="s">
        <v>2</v>
      </c>
      <c r="E280" s="8" t="s">
        <v>225</v>
      </c>
      <c r="F280" s="42" t="s">
        <v>151</v>
      </c>
      <c r="G280" s="26"/>
      <c r="H280" s="26"/>
      <c r="I280" s="26"/>
      <c r="J280" s="26"/>
      <c r="K280" s="26"/>
      <c r="L280" s="26" t="s">
        <v>672</v>
      </c>
      <c r="M280" s="5">
        <f>IF(O280&gt;0,O280,DATE(YEAR+1,July,1+7*_1st_weekday_occurrence)-WEEKDAY(DATE(YEAR+1,July,8-Monday)))</f>
        <v>45845</v>
      </c>
      <c r="N280" s="41"/>
    </row>
    <row r="281" spans="2:14" x14ac:dyDescent="0.25">
      <c r="B281" s="4">
        <v>748</v>
      </c>
      <c r="C281" t="s">
        <v>153</v>
      </c>
      <c r="D281" s="8" t="s">
        <v>2</v>
      </c>
      <c r="E281" s="8" t="s">
        <v>225</v>
      </c>
      <c r="F281" s="42" t="s">
        <v>154</v>
      </c>
      <c r="G281" s="26"/>
      <c r="H281" s="26"/>
      <c r="I281" s="26"/>
      <c r="J281" s="26"/>
      <c r="K281" s="26"/>
      <c r="L281" s="42" t="s">
        <v>673</v>
      </c>
      <c r="M281" s="5">
        <f>IF(O281&gt;0,O281,DATE(YEAR+1,July,1+7*_2nd_weekday_occurrence)-WEEKDAY(DATE(YEAR+1,July,8-Wednesday)))</f>
        <v>45847</v>
      </c>
      <c r="N281" s="41"/>
    </row>
    <row r="282" spans="2:14" x14ac:dyDescent="0.25">
      <c r="B282" s="4">
        <v>833</v>
      </c>
      <c r="C282" t="s">
        <v>82</v>
      </c>
      <c r="D282" s="8" t="s">
        <v>2</v>
      </c>
      <c r="F282" s="15" t="s">
        <v>154</v>
      </c>
      <c r="G282" s="26"/>
      <c r="H282" s="26"/>
      <c r="I282" s="26"/>
      <c r="J282" s="26"/>
      <c r="K282" s="26"/>
      <c r="L282" s="51" t="s">
        <v>673</v>
      </c>
      <c r="M282" s="5">
        <f>IF(O282&gt;0,O282,DATE(YEAR+1,July,1+7*_2nd_weekday_occurrence)-WEEKDAY(DATE(YEAR+1,July,8-Wednesday)))</f>
        <v>45847</v>
      </c>
      <c r="N282" s="41"/>
    </row>
    <row r="283" spans="2:14" x14ac:dyDescent="0.25">
      <c r="B283" s="4" t="s">
        <v>525</v>
      </c>
      <c r="C283" s="45" t="s">
        <v>528</v>
      </c>
      <c r="D283" s="8" t="s">
        <v>2</v>
      </c>
      <c r="F283" s="15" t="s">
        <v>526</v>
      </c>
      <c r="L283" s="51" t="s">
        <v>672</v>
      </c>
      <c r="M283" s="46">
        <f>IF(O283&gt;0,O283,DATE(YEAR+1,July,1+7*_2nd_weekday_occurrence)-WEEKDAY(DATE(YEAR+1,July,8-Thursday)))</f>
        <v>45848</v>
      </c>
    </row>
    <row r="284" spans="2:14" x14ac:dyDescent="0.25">
      <c r="B284" s="4">
        <v>0</v>
      </c>
      <c r="C284" t="s">
        <v>222</v>
      </c>
      <c r="D284" s="8" t="s">
        <v>2</v>
      </c>
      <c r="E284" t="s">
        <v>225</v>
      </c>
      <c r="F284" s="40" t="s">
        <v>223</v>
      </c>
      <c r="G284" s="42"/>
      <c r="H284" s="42"/>
      <c r="I284" s="42"/>
      <c r="J284" s="42"/>
      <c r="K284" s="42"/>
      <c r="L284" t="s">
        <v>672</v>
      </c>
      <c r="M284" s="5" t="str">
        <f>IF(O284="","Manual Input",O284)</f>
        <v>Manual Input</v>
      </c>
      <c r="N284" s="41"/>
    </row>
    <row r="285" spans="2:14" x14ac:dyDescent="0.25">
      <c r="B285" s="4"/>
      <c r="F285" s="15"/>
      <c r="L285" s="51"/>
      <c r="M285" s="56"/>
    </row>
    <row r="286" spans="2:14" x14ac:dyDescent="0.25">
      <c r="B286" s="4"/>
      <c r="F286" s="15"/>
      <c r="L286" s="51"/>
      <c r="M286" s="56"/>
    </row>
    <row r="287" spans="2:14" x14ac:dyDescent="0.25">
      <c r="M287" s="55"/>
    </row>
    <row r="288" spans="2:14" x14ac:dyDescent="0.25">
      <c r="M288" s="55"/>
    </row>
    <row r="289" spans="13:13" ht="15" customHeight="1" x14ac:dyDescent="0.25">
      <c r="M289" s="55"/>
    </row>
    <row r="290" spans="13:13" x14ac:dyDescent="0.25">
      <c r="M290" s="55"/>
    </row>
    <row r="291" spans="13:13" x14ac:dyDescent="0.25">
      <c r="M291" s="55"/>
    </row>
    <row r="292" spans="13:13" x14ac:dyDescent="0.25">
      <c r="M292" s="55"/>
    </row>
    <row r="293" spans="13:13" x14ac:dyDescent="0.25">
      <c r="M293" s="55"/>
    </row>
    <row r="294" spans="13:13" x14ac:dyDescent="0.25">
      <c r="M294" s="55"/>
    </row>
    <row r="295" spans="13:13" x14ac:dyDescent="0.25">
      <c r="M295" s="55"/>
    </row>
    <row r="296" spans="13:13" x14ac:dyDescent="0.25">
      <c r="M296" s="55"/>
    </row>
    <row r="297" spans="13:13" x14ac:dyDescent="0.25">
      <c r="M297" s="55"/>
    </row>
    <row r="298" spans="13:13" x14ac:dyDescent="0.25">
      <c r="M298" s="55"/>
    </row>
    <row r="299" spans="13:13" x14ac:dyDescent="0.25">
      <c r="M299" s="55"/>
    </row>
    <row r="300" spans="13:13" x14ac:dyDescent="0.25">
      <c r="M300" s="55"/>
    </row>
    <row r="301" spans="13:13" x14ac:dyDescent="0.25">
      <c r="M301" s="55"/>
    </row>
    <row r="302" spans="13:13" x14ac:dyDescent="0.25">
      <c r="M302" s="55"/>
    </row>
    <row r="303" spans="13:13" x14ac:dyDescent="0.25">
      <c r="M303" s="55"/>
    </row>
    <row r="304" spans="13:13" x14ac:dyDescent="0.25">
      <c r="M304" s="55"/>
    </row>
    <row r="305" spans="13:13" x14ac:dyDescent="0.25">
      <c r="M305" s="55"/>
    </row>
    <row r="306" spans="13:13" x14ac:dyDescent="0.25">
      <c r="M306" s="55"/>
    </row>
  </sheetData>
  <autoFilter ref="A1:P306" xr:uid="{0865C41F-F8C1-F743-9CC7-E8990FCDD1B0}"/>
  <sortState xmlns:xlrd2="http://schemas.microsoft.com/office/spreadsheetml/2017/richdata2" ref="A2:P306">
    <sortCondition ref="M2:M306"/>
    <sortCondition ref="B2:B306"/>
  </sortState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06B504B-24DB-48C9-9272-2813C5092838}">
            <xm:f>'Change Year'!$A$5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B1F09F62-DBE5-49C5-9C3A-9DBBFEB07BA6}">
            <xm:f>'Change Year'!$A$5-1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0DB16FF-0474-4A8E-BF8D-EE3BAC154D34}">
            <xm:f>'Change Year'!$A$5+1</xm:f>
            <x14:dxf>
              <fill>
                <patternFill>
                  <bgColor rgb="FFFF0000"/>
                </patternFill>
              </fill>
            </x14:dxf>
          </x14:cfRule>
          <xm:sqref>M2:M300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B9A7-3EF1-4D4A-93F1-DD99F0DC73ED}">
  <dimension ref="A1:P231"/>
  <sheetViews>
    <sheetView workbookViewId="0">
      <pane ySplit="1" topLeftCell="A201" activePane="bottomLeft" state="frozen"/>
      <selection pane="bottomLeft" activeCell="A2" sqref="A2:R231"/>
    </sheetView>
  </sheetViews>
  <sheetFormatPr defaultRowHeight="15.75" x14ac:dyDescent="0.25"/>
  <cols>
    <col min="2" max="2" width="8.625" bestFit="1" customWidth="1"/>
    <col min="3" max="3" width="29.375" customWidth="1"/>
    <col min="4" max="4" width="9.375" style="8" bestFit="1" customWidth="1"/>
    <col min="5" max="5" width="9.625" style="8" bestFit="1" customWidth="1"/>
    <col min="6" max="6" width="17" customWidth="1"/>
    <col min="7" max="7" width="0.5" customWidth="1"/>
    <col min="8" max="8" width="0.625" customWidth="1"/>
    <col min="9" max="9" width="0.5" customWidth="1"/>
    <col min="10" max="10" width="0.625" customWidth="1"/>
    <col min="11" max="11" width="0.75" customWidth="1"/>
    <col min="12" max="12" width="10.375" customWidth="1"/>
    <col min="13" max="13" width="11.25" style="55" customWidth="1"/>
    <col min="14" max="14" width="2" style="11" customWidth="1"/>
    <col min="15" max="15" width="23.375" style="5" customWidth="1"/>
    <col min="16" max="16" width="2.25" style="2" customWidth="1"/>
  </cols>
  <sheetData>
    <row r="1" spans="1:15" ht="15" customHeight="1" x14ac:dyDescent="0.25">
      <c r="A1" s="38" t="s">
        <v>226</v>
      </c>
      <c r="B1" s="1" t="s">
        <v>0</v>
      </c>
      <c r="C1" s="39" t="s">
        <v>1</v>
      </c>
      <c r="D1" s="12" t="s">
        <v>527</v>
      </c>
      <c r="E1" s="12" t="s">
        <v>224</v>
      </c>
      <c r="F1" s="39" t="s">
        <v>432</v>
      </c>
      <c r="G1" s="39"/>
      <c r="H1" s="39"/>
      <c r="I1" s="39"/>
      <c r="J1" s="39"/>
      <c r="K1" s="39"/>
      <c r="L1" s="12" t="s">
        <v>670</v>
      </c>
      <c r="M1" s="59" t="s">
        <v>431</v>
      </c>
      <c r="N1" s="2"/>
      <c r="O1" s="3" t="s">
        <v>3</v>
      </c>
    </row>
    <row r="2" spans="1:15" ht="15" customHeight="1" x14ac:dyDescent="0.25">
      <c r="B2" s="4">
        <v>1152</v>
      </c>
      <c r="C2" t="s">
        <v>155</v>
      </c>
      <c r="D2" s="8" t="s">
        <v>579</v>
      </c>
      <c r="F2" s="42" t="s">
        <v>156</v>
      </c>
      <c r="G2" s="26"/>
      <c r="H2" s="26"/>
      <c r="I2" s="26"/>
      <c r="J2" s="26"/>
      <c r="K2" s="26"/>
      <c r="L2" s="5" t="s">
        <v>672</v>
      </c>
      <c r="M2" s="55">
        <f>IF(O2&gt;0,O2,DATE(YEAR,September,1+7*_1st_weekday_occurrence)-WEEKDAY(DATE(YEAR,September,8-Wednesday)))</f>
        <v>45539</v>
      </c>
      <c r="N2" s="41"/>
    </row>
    <row r="3" spans="1:15" ht="15" customHeight="1" x14ac:dyDescent="0.25">
      <c r="B3" s="4">
        <v>1105</v>
      </c>
      <c r="C3" t="s">
        <v>119</v>
      </c>
      <c r="D3" s="8" t="s">
        <v>579</v>
      </c>
      <c r="E3" s="8" t="s">
        <v>225</v>
      </c>
      <c r="F3" s="14" t="s">
        <v>489</v>
      </c>
      <c r="G3" s="26"/>
      <c r="H3" s="26"/>
      <c r="I3" s="26"/>
      <c r="J3" s="26"/>
      <c r="K3" s="26"/>
      <c r="L3" s="42" t="s">
        <v>709</v>
      </c>
      <c r="M3" s="55">
        <f>IF(O3&gt;0,O3,DATE(YEAR,September,1+7*_1st_weekday_occurrence)-WEEKDAY(DATE(YEAR,September,8-Thursday)))</f>
        <v>45540</v>
      </c>
      <c r="N3" s="41"/>
    </row>
    <row r="4" spans="1:15" ht="15" customHeight="1" x14ac:dyDescent="0.25">
      <c r="B4" s="4">
        <v>1313</v>
      </c>
      <c r="C4" t="s">
        <v>152</v>
      </c>
      <c r="D4" s="8" t="s">
        <v>579</v>
      </c>
      <c r="F4" s="14" t="s">
        <v>489</v>
      </c>
      <c r="G4" s="26"/>
      <c r="H4" s="26"/>
      <c r="I4" s="26"/>
      <c r="J4" s="26"/>
      <c r="K4" s="26"/>
      <c r="L4" s="26" t="s">
        <v>672</v>
      </c>
      <c r="M4" s="55">
        <f>IF(O4&gt;0,O4,DATE(YEAR,September,1+7*_1st_weekday_occurrence)-WEEKDAY(DATE(YEAR,September,8-Thursday)))</f>
        <v>45540</v>
      </c>
      <c r="N4" s="41"/>
    </row>
    <row r="5" spans="1:15" ht="15" customHeight="1" x14ac:dyDescent="0.25">
      <c r="B5" s="4">
        <v>1227</v>
      </c>
      <c r="C5" t="s">
        <v>588</v>
      </c>
      <c r="D5" s="8" t="s">
        <v>579</v>
      </c>
      <c r="F5" t="s">
        <v>158</v>
      </c>
      <c r="L5" s="26" t="s">
        <v>672</v>
      </c>
      <c r="M5" s="55">
        <f>IF(O5&gt;0,O5,DATE(YEAR,September,1-2+7*_2nd_weekday_occurrence)-WEEKDAY(DATE(YEAR,September,8-Wednesday)))</f>
        <v>45544</v>
      </c>
      <c r="N5" s="41"/>
    </row>
    <row r="6" spans="1:15" ht="15" customHeight="1" x14ac:dyDescent="0.25">
      <c r="B6" s="4" t="s">
        <v>525</v>
      </c>
      <c r="C6" s="45" t="s">
        <v>580</v>
      </c>
      <c r="D6" s="8" t="s">
        <v>579</v>
      </c>
      <c r="F6" t="s">
        <v>158</v>
      </c>
      <c r="L6" t="s">
        <v>672</v>
      </c>
      <c r="M6" s="60">
        <f>IF(O3&gt;0,O3,DATE(YEAR,September,1-2+7*_2nd_weekday_occurrence)-WEEKDAY(DATE(YEAR,September,8-Wednesday)))</f>
        <v>45544</v>
      </c>
    </row>
    <row r="7" spans="1:15" ht="15" customHeight="1" x14ac:dyDescent="0.25">
      <c r="B7" s="4">
        <v>487</v>
      </c>
      <c r="C7" t="s">
        <v>46</v>
      </c>
      <c r="D7" s="8" t="s">
        <v>579</v>
      </c>
      <c r="F7" s="15" t="s">
        <v>586</v>
      </c>
      <c r="G7" s="26"/>
      <c r="H7" s="26"/>
      <c r="I7" s="26"/>
      <c r="J7" s="26"/>
      <c r="K7" s="26"/>
      <c r="L7" s="5" t="s">
        <v>710</v>
      </c>
      <c r="M7" s="55">
        <f>IF(O7&gt;0,O7,DATE(YEAR,September,1+7*_2nd_weekday_occurrence)-WEEKDAY(DATE(YEAR,September,8-Wednesday)))</f>
        <v>45546</v>
      </c>
      <c r="N7" s="41"/>
    </row>
    <row r="8" spans="1:15" ht="15" customHeight="1" x14ac:dyDescent="0.25">
      <c r="B8" s="4">
        <v>238</v>
      </c>
      <c r="C8" t="s">
        <v>146</v>
      </c>
      <c r="D8" s="8" t="s">
        <v>579</v>
      </c>
      <c r="E8" s="8" t="s">
        <v>225</v>
      </c>
      <c r="F8" s="15" t="s">
        <v>451</v>
      </c>
      <c r="G8" s="26"/>
      <c r="H8" s="26"/>
      <c r="I8" s="26"/>
      <c r="J8" s="26"/>
      <c r="K8" s="26"/>
      <c r="L8" t="s">
        <v>708</v>
      </c>
      <c r="M8" s="44">
        <f>IF(O8&gt;0,O8,DATE(YEAR,September,1+7*_2nd_weekday_occurrence)-WEEKDAY(DATE(YEAR,September,8-Thursday)))</f>
        <v>45547</v>
      </c>
      <c r="N8" s="41"/>
    </row>
    <row r="9" spans="1:15" ht="15" customHeight="1" x14ac:dyDescent="0.25">
      <c r="B9" s="4">
        <v>363</v>
      </c>
      <c r="C9" t="s">
        <v>133</v>
      </c>
      <c r="D9" s="8" t="s">
        <v>579</v>
      </c>
      <c r="E9" s="8" t="s">
        <v>225</v>
      </c>
      <c r="F9" t="s">
        <v>582</v>
      </c>
      <c r="L9" s="26" t="s">
        <v>672</v>
      </c>
      <c r="M9" s="44">
        <f>IF(O9&gt;0,O9,DATE(YEAR,September,1+1+7*_2nd_weekday_occurrence)-WEEKDAY(DATE(YEAR,September,8-Wednesday)))</f>
        <v>45547</v>
      </c>
      <c r="N9" s="41"/>
    </row>
    <row r="10" spans="1:15" ht="15" customHeight="1" x14ac:dyDescent="0.25">
      <c r="B10" s="4">
        <v>1457</v>
      </c>
      <c r="C10" t="s">
        <v>161</v>
      </c>
      <c r="D10" s="8" t="s">
        <v>579</v>
      </c>
      <c r="F10" s="42" t="s">
        <v>162</v>
      </c>
      <c r="G10" s="26"/>
      <c r="H10" s="26"/>
      <c r="I10" s="26"/>
      <c r="J10" s="26"/>
      <c r="K10" s="26"/>
      <c r="L10" t="s">
        <v>693</v>
      </c>
      <c r="M10" s="55">
        <f>IF(O10&gt;0,O10,DATE(YEAR,September,1+7*_2nd_weekday_occurrence)-WEEKDAY(DATE(YEAR,September,8-Friday)))</f>
        <v>45548</v>
      </c>
      <c r="N10" s="41"/>
    </row>
    <row r="11" spans="1:15" ht="15" customHeight="1" x14ac:dyDescent="0.25">
      <c r="B11" s="4">
        <v>2022</v>
      </c>
      <c r="C11" t="s">
        <v>163</v>
      </c>
      <c r="D11" s="8" t="s">
        <v>579</v>
      </c>
      <c r="F11" s="42" t="s">
        <v>164</v>
      </c>
      <c r="G11" s="26"/>
      <c r="H11" s="26"/>
      <c r="I11" s="26"/>
      <c r="J11" s="26"/>
      <c r="K11" s="26"/>
      <c r="L11" s="5" t="s">
        <v>710</v>
      </c>
      <c r="M11" s="55">
        <f>IF(O11&gt;0,O11,DATE(YEAR,September,1+7*_2nd_weekday_occurrence)-WEEKDAY(DATE(YEAR,September,8-Saturday)))</f>
        <v>45549</v>
      </c>
    </row>
    <row r="12" spans="1:15" ht="15" customHeight="1" x14ac:dyDescent="0.25">
      <c r="B12" s="4">
        <v>786</v>
      </c>
      <c r="C12" t="s">
        <v>142</v>
      </c>
      <c r="D12" s="8" t="s">
        <v>579</v>
      </c>
      <c r="E12" s="8" t="s">
        <v>225</v>
      </c>
      <c r="F12" s="14" t="s">
        <v>168</v>
      </c>
      <c r="G12" s="26"/>
      <c r="H12" s="26"/>
      <c r="I12" s="26"/>
      <c r="J12" s="26"/>
      <c r="K12" s="26"/>
      <c r="L12" t="s">
        <v>693</v>
      </c>
      <c r="M12" s="55">
        <f>IF(O12&gt;0,O12,DATE(YEAR,September,1+7*_3rd_weekday_occurrence)-WEEKDAY(DATE(YEAR,September,8-Monday)))</f>
        <v>45551</v>
      </c>
      <c r="N12" s="41"/>
    </row>
    <row r="13" spans="1:15" ht="15" customHeight="1" x14ac:dyDescent="0.25">
      <c r="B13" s="4">
        <v>897</v>
      </c>
      <c r="C13" t="s">
        <v>167</v>
      </c>
      <c r="D13" s="8" t="s">
        <v>579</v>
      </c>
      <c r="F13" s="42" t="s">
        <v>168</v>
      </c>
      <c r="G13" s="26"/>
      <c r="H13" s="26"/>
      <c r="I13" s="26"/>
      <c r="J13" s="26"/>
      <c r="K13" s="26"/>
      <c r="L13" s="5" t="s">
        <v>710</v>
      </c>
      <c r="M13" s="55">
        <f>IF(O13&gt;0,O13,DATE(YEAR,September,1+7*_3rd_weekday_occurrence)-WEEKDAY(DATE(YEAR,September,8-Monday)))</f>
        <v>45551</v>
      </c>
      <c r="N13" s="41"/>
    </row>
    <row r="14" spans="1:15" ht="15" customHeight="1" x14ac:dyDescent="0.25">
      <c r="B14" s="4">
        <v>936</v>
      </c>
      <c r="C14" t="s">
        <v>165</v>
      </c>
      <c r="D14" s="8" t="s">
        <v>579</v>
      </c>
      <c r="F14" s="42" t="s">
        <v>166</v>
      </c>
      <c r="G14" s="26"/>
      <c r="H14" s="26"/>
      <c r="I14" s="26"/>
      <c r="J14" s="26"/>
      <c r="K14" s="26"/>
      <c r="L14" t="s">
        <v>693</v>
      </c>
      <c r="M14" s="55">
        <f>IF(O14&gt;0,O14,DATE(YEAR,September,1+7*_3rd_weekday_occurrence)-WEEKDAY(DATE(YEAR,September,8-Wednesday)))</f>
        <v>45553</v>
      </c>
      <c r="N14" s="41"/>
    </row>
    <row r="15" spans="1:15" ht="15" customHeight="1" x14ac:dyDescent="0.25">
      <c r="B15" s="4">
        <v>1989</v>
      </c>
      <c r="C15" t="s">
        <v>113</v>
      </c>
      <c r="D15" s="8" t="s">
        <v>579</v>
      </c>
      <c r="F15" s="42" t="s">
        <v>516</v>
      </c>
      <c r="G15" s="26"/>
      <c r="H15" s="26"/>
      <c r="I15" s="26"/>
      <c r="J15" s="26"/>
      <c r="K15" s="26"/>
      <c r="L15" s="51" t="s">
        <v>693</v>
      </c>
      <c r="M15" s="55">
        <f>IF(O15&gt;0,O15,DATE(YEAR,September,1+7*_3rd_weekday_occurrence)-WEEKDAY(DATE(YEAR,September,8-Saturday)))</f>
        <v>45556</v>
      </c>
    </row>
    <row r="16" spans="1:15" ht="15" customHeight="1" x14ac:dyDescent="0.25">
      <c r="B16" s="4">
        <v>921</v>
      </c>
      <c r="C16" t="s">
        <v>95</v>
      </c>
      <c r="D16" s="8" t="s">
        <v>579</v>
      </c>
      <c r="E16" s="8" t="s">
        <v>225</v>
      </c>
      <c r="F16" s="15" t="s">
        <v>482</v>
      </c>
      <c r="G16" s="26"/>
      <c r="H16" s="26"/>
      <c r="I16" s="26"/>
      <c r="J16" s="26"/>
      <c r="K16" s="26"/>
      <c r="L16" t="s">
        <v>693</v>
      </c>
      <c r="M16" s="55">
        <f>IF(O16&gt;0,O16,DATE(YEAR,September,1+7*_4th_weekday_occurrence)-WEEKDAY(DATE(YEAR,September,8-Monday)))</f>
        <v>45558</v>
      </c>
      <c r="N16" s="41"/>
    </row>
    <row r="17" spans="2:14" ht="15" customHeight="1" x14ac:dyDescent="0.25">
      <c r="B17" s="4">
        <v>976</v>
      </c>
      <c r="C17" t="s">
        <v>76</v>
      </c>
      <c r="D17" s="8" t="s">
        <v>579</v>
      </c>
      <c r="E17" s="8" t="s">
        <v>225</v>
      </c>
      <c r="F17" s="14" t="s">
        <v>483</v>
      </c>
      <c r="G17" s="26"/>
      <c r="H17" s="26"/>
      <c r="I17" s="26"/>
      <c r="J17" s="26"/>
      <c r="K17" s="26"/>
      <c r="L17" s="5" t="s">
        <v>693</v>
      </c>
      <c r="M17" s="55">
        <f>IF(O17&gt;0,O17,DATE(YEAR,September,1+7*_4th_weekday_occurrence)-WEEKDAY(DATE(YEAR,September,8-Tuesday)))</f>
        <v>45559</v>
      </c>
      <c r="N17" s="41"/>
    </row>
    <row r="18" spans="2:14" ht="15" customHeight="1" x14ac:dyDescent="0.25">
      <c r="B18" s="4">
        <v>802</v>
      </c>
      <c r="C18" t="s">
        <v>169</v>
      </c>
      <c r="D18" s="8" t="s">
        <v>579</v>
      </c>
      <c r="F18" s="42" t="s">
        <v>170</v>
      </c>
      <c r="G18" s="26"/>
      <c r="H18" s="26"/>
      <c r="I18" s="26"/>
      <c r="J18" s="26"/>
      <c r="K18" s="26"/>
      <c r="L18" s="42" t="s">
        <v>709</v>
      </c>
      <c r="M18" s="55">
        <f>IF(O18&gt;0,O18,DATE(YEAR,September,1+7*_4th_weekday_occurrence)-WEEKDAY(DATE(YEAR,September,8-Thursday)))</f>
        <v>45561</v>
      </c>
      <c r="N18" s="41"/>
    </row>
    <row r="19" spans="2:14" ht="15" customHeight="1" x14ac:dyDescent="0.25">
      <c r="B19" s="4">
        <v>1071</v>
      </c>
      <c r="C19" t="s">
        <v>141</v>
      </c>
      <c r="D19" s="8" t="s">
        <v>579</v>
      </c>
      <c r="F19" s="15" t="s">
        <v>486</v>
      </c>
      <c r="G19" s="26"/>
      <c r="H19" s="26"/>
      <c r="I19" s="26"/>
      <c r="J19" s="26"/>
      <c r="K19" s="26"/>
      <c r="L19" t="s">
        <v>710</v>
      </c>
      <c r="M19" s="55">
        <f>IF(O19&gt;0,O19,DATE(YEAR,October,1+7*_1st_weekday_occurrence)-WEEKDAY(DATE(YEAR,October,8-Wednesday)))</f>
        <v>45567</v>
      </c>
      <c r="N19" s="41"/>
    </row>
    <row r="20" spans="2:14" ht="15" customHeight="1" x14ac:dyDescent="0.25">
      <c r="B20" s="4">
        <v>801</v>
      </c>
      <c r="C20" t="s">
        <v>6</v>
      </c>
      <c r="D20" s="8" t="s">
        <v>579</v>
      </c>
      <c r="E20" s="8" t="s">
        <v>225</v>
      </c>
      <c r="F20" s="15" t="s">
        <v>174</v>
      </c>
      <c r="G20" s="26"/>
      <c r="H20" s="26"/>
      <c r="I20" s="26"/>
      <c r="J20" s="26"/>
      <c r="K20" s="26"/>
      <c r="L20" s="42" t="s">
        <v>708</v>
      </c>
      <c r="M20" s="55">
        <f>IF(O20&gt;0,O20,DATE(YEAR,October,1+7*_1st_weekday_occurrence)-WEEKDAY(DATE(YEAR,October,8-Monday)))</f>
        <v>45572</v>
      </c>
      <c r="N20" s="41"/>
    </row>
    <row r="21" spans="2:14" ht="15" customHeight="1" x14ac:dyDescent="0.25">
      <c r="B21" s="4">
        <v>5</v>
      </c>
      <c r="C21" t="s">
        <v>178</v>
      </c>
      <c r="D21" s="8" t="s">
        <v>579</v>
      </c>
      <c r="F21" s="42" t="s">
        <v>179</v>
      </c>
      <c r="G21" s="42"/>
      <c r="H21" s="42"/>
      <c r="I21" s="42"/>
      <c r="J21" s="42"/>
      <c r="K21" s="42"/>
      <c r="L21" s="51" t="s">
        <v>708</v>
      </c>
      <c r="M21" s="55">
        <f>IF(O21&gt;0,O21,DATE(YEAR,October,1+7*_2nd_weekday_occurrence)-WEEKDAY(DATE(YEAR,October,8-Tuesday)))</f>
        <v>45573</v>
      </c>
      <c r="N21" s="43"/>
    </row>
    <row r="22" spans="2:14" ht="15" customHeight="1" x14ac:dyDescent="0.25">
      <c r="B22" s="4">
        <v>8</v>
      </c>
      <c r="C22" t="s">
        <v>180</v>
      </c>
      <c r="D22" s="8" t="s">
        <v>579</v>
      </c>
      <c r="F22" s="42" t="s">
        <v>179</v>
      </c>
      <c r="G22" s="42"/>
      <c r="H22" s="42"/>
      <c r="I22" s="42"/>
      <c r="J22" s="42"/>
      <c r="K22" s="42"/>
      <c r="L22" t="s">
        <v>693</v>
      </c>
      <c r="M22" s="55">
        <f>IF(O22&gt;0,O22,DATE(YEAR,October,1+7*_2nd_weekday_occurrence)-WEEKDAY(DATE(YEAR,October,8-Tuesday)))</f>
        <v>45573</v>
      </c>
    </row>
    <row r="23" spans="2:14" ht="15" customHeight="1" x14ac:dyDescent="0.25">
      <c r="B23" s="4">
        <v>433</v>
      </c>
      <c r="C23" t="s">
        <v>220</v>
      </c>
      <c r="D23" s="8" t="s">
        <v>579</v>
      </c>
      <c r="F23" s="15" t="s">
        <v>179</v>
      </c>
      <c r="G23" s="26"/>
      <c r="H23" s="26"/>
      <c r="I23" s="26"/>
      <c r="J23" s="26"/>
      <c r="K23" s="26"/>
      <c r="L23" s="51" t="s">
        <v>673</v>
      </c>
      <c r="M23" s="55">
        <f>IF(O23&gt;0,O23,DATE(YEAR,October,1+7*_2nd_weekday_occurrence)-WEEKDAY(DATE(YEAR,October,8-Tuesday)))</f>
        <v>45573</v>
      </c>
      <c r="N23" s="41"/>
    </row>
    <row r="24" spans="2:14" ht="15" customHeight="1" x14ac:dyDescent="0.25">
      <c r="B24" s="4">
        <v>224</v>
      </c>
      <c r="C24" t="s">
        <v>49</v>
      </c>
      <c r="D24" s="8" t="s">
        <v>579</v>
      </c>
      <c r="F24" s="15" t="s">
        <v>448</v>
      </c>
      <c r="G24" s="26"/>
      <c r="H24" s="26"/>
      <c r="I24" s="26"/>
      <c r="J24" s="26"/>
      <c r="K24" s="26"/>
      <c r="L24" t="s">
        <v>693</v>
      </c>
      <c r="M24" s="44">
        <f>IF(O24&gt;0,O24,DATE(YEAR,October,1+7*_2nd_weekday_occurrence)-WEEKDAY(DATE(YEAR,October,8-Wednesday)))</f>
        <v>45574</v>
      </c>
      <c r="N24" s="41"/>
    </row>
    <row r="25" spans="2:14" ht="15" customHeight="1" x14ac:dyDescent="0.25">
      <c r="B25" s="4">
        <v>856</v>
      </c>
      <c r="C25" t="s">
        <v>66</v>
      </c>
      <c r="D25" s="8" t="s">
        <v>579</v>
      </c>
      <c r="F25" s="14" t="s">
        <v>448</v>
      </c>
      <c r="G25" s="26"/>
      <c r="H25" s="26"/>
      <c r="I25" s="26"/>
      <c r="J25" s="26"/>
      <c r="K25" s="26"/>
      <c r="L25" t="s">
        <v>693</v>
      </c>
      <c r="M25" s="55">
        <f>IF(O25&gt;0,O25,DATE(YEAR,October,1+7*_2nd_weekday_occurrence)-WEEKDAY(DATE(YEAR,October,8-Wednesday)))</f>
        <v>45574</v>
      </c>
      <c r="N25" s="41"/>
    </row>
    <row r="26" spans="2:14" ht="15" customHeight="1" x14ac:dyDescent="0.25">
      <c r="B26" s="4">
        <v>616</v>
      </c>
      <c r="C26" t="s">
        <v>42</v>
      </c>
      <c r="D26" s="8" t="s">
        <v>579</v>
      </c>
      <c r="E26" s="8" t="s">
        <v>225</v>
      </c>
      <c r="F26" s="15" t="s">
        <v>175</v>
      </c>
      <c r="G26" s="26"/>
      <c r="H26" s="26"/>
      <c r="I26" s="26"/>
      <c r="J26" s="26"/>
      <c r="K26" s="26"/>
      <c r="L26" s="51" t="s">
        <v>673</v>
      </c>
      <c r="M26" s="55">
        <f>IF(O26&gt;0,O26,DATE(YEAR,October,1+7*_2nd_weekday_occurrence)-WEEKDAY(DATE(YEAR,October,8-Saturday)))</f>
        <v>45577</v>
      </c>
      <c r="N26" s="41"/>
    </row>
    <row r="27" spans="2:14" ht="15" customHeight="1" x14ac:dyDescent="0.25">
      <c r="B27" s="4">
        <v>1997</v>
      </c>
      <c r="C27" t="s">
        <v>676</v>
      </c>
      <c r="D27" s="8" t="s">
        <v>579</v>
      </c>
      <c r="F27" s="54" t="s">
        <v>175</v>
      </c>
      <c r="L27" s="51" t="s">
        <v>708</v>
      </c>
      <c r="M27" s="55">
        <f>IF(O27&gt;0,O27,DATE(YEAR,October,1+7*_2nd_weekday_occurrence)-WEEKDAY(DATE(YEAR,October,8-Saturday)))</f>
        <v>45577</v>
      </c>
    </row>
    <row r="28" spans="2:14" ht="15" customHeight="1" x14ac:dyDescent="0.25">
      <c r="B28" s="4">
        <v>569</v>
      </c>
      <c r="C28" t="s">
        <v>99</v>
      </c>
      <c r="D28" s="8" t="s">
        <v>579</v>
      </c>
      <c r="F28" s="14" t="s">
        <v>177</v>
      </c>
      <c r="G28" s="26"/>
      <c r="H28" s="26"/>
      <c r="I28" s="26"/>
      <c r="J28" s="26"/>
      <c r="K28" s="26"/>
      <c r="L28" s="26" t="s">
        <v>672</v>
      </c>
      <c r="M28" s="55">
        <f>IF(O28&gt;0,O28,DATE(YEAR,October,1+7*_2nd_weekday_occurrence)-WEEKDAY(DATE(YEAR,October,8-Monday)))</f>
        <v>45579</v>
      </c>
      <c r="N28" s="41"/>
    </row>
    <row r="29" spans="2:14" ht="15" customHeight="1" x14ac:dyDescent="0.25">
      <c r="B29" s="4">
        <v>633</v>
      </c>
      <c r="C29" t="s">
        <v>176</v>
      </c>
      <c r="D29" s="8" t="s">
        <v>579</v>
      </c>
      <c r="F29" s="42" t="s">
        <v>177</v>
      </c>
      <c r="G29" s="26"/>
      <c r="H29" s="26"/>
      <c r="I29" s="26"/>
      <c r="J29" s="26"/>
      <c r="K29" s="26"/>
      <c r="L29" t="s">
        <v>693</v>
      </c>
      <c r="M29" s="55">
        <f>IF(O29&gt;0,O29,DATE(YEAR,October,1+7*_2nd_weekday_occurrence)-WEEKDAY(DATE(YEAR,October,8-Monday)))</f>
        <v>45579</v>
      </c>
      <c r="N29" s="41"/>
    </row>
    <row r="30" spans="2:14" ht="15" customHeight="1" x14ac:dyDescent="0.25">
      <c r="B30" s="4">
        <v>22</v>
      </c>
      <c r="C30" t="s">
        <v>70</v>
      </c>
      <c r="D30" s="8" t="s">
        <v>579</v>
      </c>
      <c r="F30" s="14" t="s">
        <v>442</v>
      </c>
      <c r="G30" s="26"/>
      <c r="H30" s="26"/>
      <c r="I30" s="26"/>
      <c r="J30" s="26"/>
      <c r="K30" s="26"/>
      <c r="L30" s="51" t="s">
        <v>708</v>
      </c>
      <c r="M30" s="55">
        <f>IF(O30&gt;0,O30,DATE(YEAR,October,1+7*_3rd_weekday_occurrence)-WEEKDAY(DATE(YEAR,October,8-Tuesday)))</f>
        <v>45580</v>
      </c>
      <c r="N30" s="41"/>
    </row>
    <row r="31" spans="2:14" ht="15" customHeight="1" x14ac:dyDescent="0.25">
      <c r="B31" s="4">
        <v>418</v>
      </c>
      <c r="C31" t="s">
        <v>91</v>
      </c>
      <c r="D31" s="8" t="s">
        <v>579</v>
      </c>
      <c r="E31" s="8" t="s">
        <v>225</v>
      </c>
      <c r="F31" s="15" t="s">
        <v>442</v>
      </c>
      <c r="G31" s="26"/>
      <c r="H31" s="26"/>
      <c r="I31" s="26"/>
      <c r="J31" s="26"/>
      <c r="K31" s="26"/>
      <c r="L31" s="42" t="s">
        <v>709</v>
      </c>
      <c r="M31" s="55">
        <f>IF(O31&gt;0,O31,DATE(YEAR,October,1+7*_3rd_weekday_occurrence)-WEEKDAY(DATE(YEAR,October,8-Tuesday)))</f>
        <v>45580</v>
      </c>
      <c r="N31" s="41"/>
    </row>
    <row r="32" spans="2:14" ht="15" customHeight="1" x14ac:dyDescent="0.25">
      <c r="B32" s="4">
        <v>932</v>
      </c>
      <c r="C32" t="s">
        <v>63</v>
      </c>
      <c r="D32" s="8" t="s">
        <v>579</v>
      </c>
      <c r="E32" s="8" t="s">
        <v>225</v>
      </c>
      <c r="F32" s="14" t="s">
        <v>442</v>
      </c>
      <c r="G32" s="26"/>
      <c r="H32" s="26"/>
      <c r="I32" s="26"/>
      <c r="J32" s="26"/>
      <c r="K32" s="26"/>
      <c r="L32" t="s">
        <v>709</v>
      </c>
      <c r="M32" s="55">
        <f>IF(O32&gt;0,O32,DATE(YEAR,October,1+7*_3rd_weekday_occurrence)-WEEKDAY(DATE(YEAR,October,8-Tuesday)))</f>
        <v>45580</v>
      </c>
      <c r="N32" s="41"/>
    </row>
    <row r="33" spans="2:14" ht="15" customHeight="1" x14ac:dyDescent="0.25">
      <c r="B33" s="4">
        <v>996</v>
      </c>
      <c r="C33" t="s">
        <v>192</v>
      </c>
      <c r="D33" s="8" t="s">
        <v>579</v>
      </c>
      <c r="F33" s="42" t="s">
        <v>193</v>
      </c>
      <c r="G33" s="26"/>
      <c r="H33" s="26"/>
      <c r="I33" s="26"/>
      <c r="J33" s="26"/>
      <c r="K33" s="26"/>
      <c r="L33" t="s">
        <v>708</v>
      </c>
      <c r="M33" s="55">
        <f>IF(O33&gt;0,O33,DATE(YEAR,October,1+7*_3rd_weekday_occurrence)-WEEKDAY(DATE(YEAR,October,8-Wednesday)))</f>
        <v>45581</v>
      </c>
      <c r="N33" s="41"/>
    </row>
    <row r="34" spans="2:14" ht="15" customHeight="1" x14ac:dyDescent="0.25">
      <c r="B34" s="4">
        <v>1265</v>
      </c>
      <c r="C34" t="s">
        <v>194</v>
      </c>
      <c r="D34" s="8" t="s">
        <v>579</v>
      </c>
      <c r="F34" s="42" t="s">
        <v>193</v>
      </c>
      <c r="G34" s="26"/>
      <c r="H34" s="26"/>
      <c r="I34" s="26"/>
      <c r="J34" s="26"/>
      <c r="K34" s="26"/>
      <c r="L34" s="42" t="s">
        <v>710</v>
      </c>
      <c r="M34" s="55">
        <f>IF(O34&gt;0,O34,DATE(YEAR,October,1+7*_3rd_weekday_occurrence)-WEEKDAY(DATE(YEAR,October,8-Wednesday)))</f>
        <v>45581</v>
      </c>
      <c r="N34" s="41"/>
    </row>
    <row r="35" spans="2:14" ht="15" customHeight="1" x14ac:dyDescent="0.25">
      <c r="B35" s="4">
        <v>1228</v>
      </c>
      <c r="C35" t="s">
        <v>84</v>
      </c>
      <c r="D35" s="8" t="s">
        <v>579</v>
      </c>
      <c r="F35" s="15" t="s">
        <v>497</v>
      </c>
      <c r="G35" s="26"/>
      <c r="H35" s="26"/>
      <c r="I35" s="26"/>
      <c r="J35" s="26"/>
      <c r="K35" s="26"/>
      <c r="L35" t="s">
        <v>710</v>
      </c>
      <c r="M35" s="55">
        <f>IF(O35&gt;0,O35,DATE(YEAR,October,1+7*_3rd_weekday_occurrence)-WEEKDAY(DATE(YEAR,October,8-Thursday)))</f>
        <v>45582</v>
      </c>
      <c r="N35" s="41"/>
    </row>
    <row r="36" spans="2:14" ht="15" customHeight="1" x14ac:dyDescent="0.25">
      <c r="B36" s="4" t="s">
        <v>181</v>
      </c>
      <c r="C36" t="s">
        <v>182</v>
      </c>
      <c r="D36" s="8" t="s">
        <v>579</v>
      </c>
      <c r="F36" s="42" t="s">
        <v>183</v>
      </c>
      <c r="G36" s="26"/>
      <c r="H36" s="26"/>
      <c r="I36" s="26"/>
      <c r="J36" s="26"/>
      <c r="K36" s="26"/>
      <c r="L36" s="26" t="s">
        <v>672</v>
      </c>
      <c r="M36" s="44">
        <f>IF(O31&gt;0,O31,DATE(YEAR,October,1+7*_3rd_weekday_occurrence)-WEEKDAY(DATE(YEAR,October,8-Thursday)))</f>
        <v>45582</v>
      </c>
    </row>
    <row r="37" spans="2:14" ht="15" customHeight="1" x14ac:dyDescent="0.25">
      <c r="B37" s="4">
        <v>1889</v>
      </c>
      <c r="C37" t="s">
        <v>186</v>
      </c>
      <c r="D37" s="8" t="s">
        <v>579</v>
      </c>
      <c r="F37" s="42" t="s">
        <v>187</v>
      </c>
      <c r="G37" s="26"/>
      <c r="H37" s="26"/>
      <c r="I37" s="26"/>
      <c r="J37" s="26"/>
      <c r="K37" s="26"/>
      <c r="L37" s="5" t="s">
        <v>672</v>
      </c>
      <c r="M37" s="55">
        <f>IF(O37&gt;0,O37,DATE(YEAR,October,1+7*_3rd_weekday_occurrence)-WEEKDAY(DATE(YEAR,October,8-Friday)))</f>
        <v>45583</v>
      </c>
      <c r="N37" s="41"/>
    </row>
    <row r="38" spans="2:14" ht="15" customHeight="1" x14ac:dyDescent="0.25">
      <c r="B38" s="4">
        <v>176</v>
      </c>
      <c r="C38" t="s">
        <v>188</v>
      </c>
      <c r="D38" s="8" t="s">
        <v>579</v>
      </c>
      <c r="F38" s="42" t="s">
        <v>189</v>
      </c>
      <c r="G38" s="26"/>
      <c r="H38" s="26"/>
      <c r="I38" s="26"/>
      <c r="J38" s="26"/>
      <c r="K38" s="26"/>
      <c r="L38" s="5" t="s">
        <v>709</v>
      </c>
      <c r="M38" s="44">
        <f>IF(O38&gt;0,O38,DATE(YEAR,October,1+7*_3rd_weekday_occurrence)-WEEKDAY(DATE(YEAR,October,8-Saturday)))</f>
        <v>45584</v>
      </c>
      <c r="N38" s="41"/>
    </row>
    <row r="39" spans="2:14" ht="15" customHeight="1" x14ac:dyDescent="0.25">
      <c r="B39" s="4">
        <v>406</v>
      </c>
      <c r="C39" t="s">
        <v>61</v>
      </c>
      <c r="D39" s="8" t="s">
        <v>579</v>
      </c>
      <c r="E39" s="8" t="s">
        <v>225</v>
      </c>
      <c r="F39" s="15" t="s">
        <v>191</v>
      </c>
      <c r="G39" s="26"/>
      <c r="H39" s="26"/>
      <c r="I39" s="26"/>
      <c r="J39" s="26"/>
      <c r="K39" s="26"/>
      <c r="L39" s="26" t="s">
        <v>672</v>
      </c>
      <c r="M39" s="55">
        <f>IF(O39&gt;0,O39,DATE(YEAR,October,1+7*_3rd_weekday_occurrence)-WEEKDAY(DATE(YEAR,October,8-Monday)))</f>
        <v>45586</v>
      </c>
      <c r="N39" s="41"/>
    </row>
    <row r="40" spans="2:14" ht="15" customHeight="1" x14ac:dyDescent="0.25">
      <c r="B40" s="4">
        <v>459</v>
      </c>
      <c r="C40" t="s">
        <v>137</v>
      </c>
      <c r="D40" s="8" t="s">
        <v>579</v>
      </c>
      <c r="E40" s="8" t="s">
        <v>225</v>
      </c>
      <c r="F40" s="14" t="s">
        <v>463</v>
      </c>
      <c r="G40" s="26"/>
      <c r="H40" s="26"/>
      <c r="I40" s="26"/>
      <c r="J40" s="26"/>
      <c r="K40" s="26"/>
      <c r="L40" s="42" t="s">
        <v>672</v>
      </c>
      <c r="M40" s="55">
        <f>IF(O40&gt;0,O40,DATE(YEAR,October,1+7*_3rd_weekday_occurrence)-WEEKDAY(DATE(YEAR,October,8-Monday)))</f>
        <v>45586</v>
      </c>
      <c r="N40" s="41"/>
    </row>
    <row r="41" spans="2:14" ht="15" customHeight="1" x14ac:dyDescent="0.25">
      <c r="B41" s="4">
        <v>1200</v>
      </c>
      <c r="C41" t="s">
        <v>131</v>
      </c>
      <c r="D41" s="8" t="s">
        <v>579</v>
      </c>
      <c r="E41" s="8" t="s">
        <v>225</v>
      </c>
      <c r="F41" s="15" t="s">
        <v>191</v>
      </c>
      <c r="G41" s="26"/>
      <c r="H41" s="26"/>
      <c r="I41" s="26"/>
      <c r="J41" s="26"/>
      <c r="K41" s="26"/>
      <c r="L41" s="42" t="s">
        <v>710</v>
      </c>
      <c r="M41" s="55">
        <f>IF(O41&gt;0,O41,DATE(YEAR,October,1+7*_3rd_weekday_occurrence)-WEEKDAY(DATE(YEAR,October,8-Monday)))</f>
        <v>45586</v>
      </c>
      <c r="N41" s="41"/>
    </row>
    <row r="42" spans="2:14" ht="15" customHeight="1" x14ac:dyDescent="0.25">
      <c r="B42" s="4">
        <v>1467</v>
      </c>
      <c r="C42" t="s">
        <v>190</v>
      </c>
      <c r="D42" s="8" t="s">
        <v>579</v>
      </c>
      <c r="E42" s="8" t="s">
        <v>225</v>
      </c>
      <c r="F42" s="42" t="s">
        <v>191</v>
      </c>
      <c r="G42" s="26"/>
      <c r="H42" s="26"/>
      <c r="I42" s="26"/>
      <c r="J42" s="26"/>
      <c r="K42" s="26"/>
      <c r="L42" s="51" t="s">
        <v>673</v>
      </c>
      <c r="M42" s="55">
        <f>IF(O42&gt;0,O42,DATE(YEAR,October,1+7*_3rd_weekday_occurrence)-WEEKDAY(DATE(YEAR,October,8-Monday)))</f>
        <v>45586</v>
      </c>
      <c r="N42" s="41"/>
    </row>
    <row r="43" spans="2:14" ht="15" customHeight="1" x14ac:dyDescent="0.25">
      <c r="B43" s="4">
        <v>1091</v>
      </c>
      <c r="C43" t="s">
        <v>55</v>
      </c>
      <c r="D43" s="8" t="s">
        <v>579</v>
      </c>
      <c r="E43" s="8" t="s">
        <v>225</v>
      </c>
      <c r="F43" s="15" t="s">
        <v>434</v>
      </c>
      <c r="G43" s="26"/>
      <c r="H43" s="26"/>
      <c r="I43" s="26"/>
      <c r="J43" s="26"/>
      <c r="K43" s="26"/>
      <c r="L43" s="42" t="s">
        <v>710</v>
      </c>
      <c r="M43" s="55">
        <f>IF(O43&gt;0,O43,DATE(YEAR,October,1+7*_4th_weekday_occurrence)-WEEKDAY(DATE(YEAR,October,8-Wednesday)))</f>
        <v>45588</v>
      </c>
      <c r="N43" s="41"/>
    </row>
    <row r="44" spans="2:14" ht="15" customHeight="1" x14ac:dyDescent="0.25">
      <c r="B44" s="4">
        <v>1074</v>
      </c>
      <c r="C44" t="s">
        <v>109</v>
      </c>
      <c r="D44" s="8" t="s">
        <v>579</v>
      </c>
      <c r="F44" s="15" t="s">
        <v>488</v>
      </c>
      <c r="G44" s="26"/>
      <c r="H44" s="26"/>
      <c r="I44" s="26"/>
      <c r="J44" s="26"/>
      <c r="K44" s="26"/>
      <c r="L44" t="s">
        <v>693</v>
      </c>
      <c r="M44" s="55">
        <f>IF(O44&gt;0,O44,DATE(YEAR,October,1+7*_4th_weekday_occurrence)-WEEKDAY(DATE(YEAR,October,8-Thursday)))</f>
        <v>45589</v>
      </c>
      <c r="N44" s="41"/>
    </row>
    <row r="45" spans="2:14" ht="15" customHeight="1" x14ac:dyDescent="0.25">
      <c r="B45" s="4">
        <v>458</v>
      </c>
      <c r="C45" t="s">
        <v>72</v>
      </c>
      <c r="D45" s="8" t="s">
        <v>579</v>
      </c>
      <c r="F45" s="15" t="s">
        <v>462</v>
      </c>
      <c r="G45" s="26"/>
      <c r="H45" s="26"/>
      <c r="I45" s="26"/>
      <c r="J45" s="26"/>
      <c r="K45" s="26"/>
      <c r="L45" s="5" t="s">
        <v>673</v>
      </c>
      <c r="M45" s="55">
        <f>IF(O45&gt;0,O45,DATE(YEAR,October,1+7*_4th_weekday_occurrence)-WEEKDAY(DATE(YEAR,October,8-Friday)))</f>
        <v>45590</v>
      </c>
      <c r="N45" s="41"/>
    </row>
    <row r="46" spans="2:14" ht="15" customHeight="1" x14ac:dyDescent="0.25">
      <c r="B46" s="4">
        <v>997</v>
      </c>
      <c r="C46" t="s">
        <v>88</v>
      </c>
      <c r="D46" s="8" t="s">
        <v>579</v>
      </c>
      <c r="F46" s="42" t="s">
        <v>462</v>
      </c>
      <c r="G46" s="26"/>
      <c r="H46" s="26"/>
      <c r="I46" s="26"/>
      <c r="J46" s="26"/>
      <c r="K46" s="26"/>
      <c r="L46" t="s">
        <v>710</v>
      </c>
      <c r="M46" s="55">
        <f>IF(O46&gt;0,O46,DATE(YEAR,October,1+7*_4th_weekday_occurrence)-WEEKDAY(DATE(YEAR,October,8-Friday)))</f>
        <v>45590</v>
      </c>
      <c r="N46" s="41"/>
    </row>
    <row r="47" spans="2:14" ht="15" customHeight="1" x14ac:dyDescent="0.25">
      <c r="B47" s="4">
        <v>4</v>
      </c>
      <c r="C47" t="s">
        <v>123</v>
      </c>
      <c r="D47" s="8" t="s">
        <v>579</v>
      </c>
      <c r="F47" s="14" t="s">
        <v>436</v>
      </c>
      <c r="L47" t="s">
        <v>708</v>
      </c>
      <c r="M47" s="55">
        <f>IF(O47&gt;0,O47,DATE(YEAR,October,1+7*_4th_weekday_occurrence)-WEEKDAY(DATE(YEAR,October,8-Monday)))</f>
        <v>45593</v>
      </c>
      <c r="N47" s="41"/>
    </row>
    <row r="48" spans="2:14" ht="15" customHeight="1" x14ac:dyDescent="0.25">
      <c r="B48" s="4">
        <v>454</v>
      </c>
      <c r="C48" t="s">
        <v>135</v>
      </c>
      <c r="D48" s="8" t="s">
        <v>579</v>
      </c>
      <c r="E48" s="8" t="s">
        <v>225</v>
      </c>
      <c r="F48" s="15" t="s">
        <v>436</v>
      </c>
      <c r="G48" s="26"/>
      <c r="H48" s="26"/>
      <c r="I48" s="26"/>
      <c r="J48" s="26"/>
      <c r="K48" s="26"/>
      <c r="L48" s="51" t="s">
        <v>673</v>
      </c>
      <c r="M48" s="55">
        <f>IF(O48&gt;0,O48,DATE(YEAR,October,1+7*_4th_weekday_occurrence)-WEEKDAY(DATE(YEAR,October,8-Monday)))</f>
        <v>45593</v>
      </c>
      <c r="N48" s="41"/>
    </row>
    <row r="49" spans="2:14" ht="15" customHeight="1" x14ac:dyDescent="0.25">
      <c r="B49" s="4">
        <v>104</v>
      </c>
      <c r="C49" t="s">
        <v>195</v>
      </c>
      <c r="D49" s="8" t="s">
        <v>579</v>
      </c>
      <c r="F49" t="s">
        <v>532</v>
      </c>
      <c r="G49" s="5">
        <f>DATE(YEAR,October,1+7*_5th_weekday_occurrence)-WEEKDAY(DATE(YEAR,October,8-Monday))</f>
        <v>45600</v>
      </c>
      <c r="H49" s="5">
        <f>DATE(YEAR,October,1+7*_5th_weekday_occurrence)-WEEKDAY(DATE(YEAR,October,8-Tuesday))</f>
        <v>45594</v>
      </c>
      <c r="I49" s="5">
        <f>DATE(YEAR,October,1+7*_5th_weekday_occurrence)-WEEKDAY(DATE(YEAR,October,8-Wednesday))</f>
        <v>45595</v>
      </c>
      <c r="J49" s="5">
        <f>DATE(YEAR,October,1+7*_5th_weekday_occurrence)-WEEKDAY(DATE(YEAR,October,8-Thursday))</f>
        <v>45596</v>
      </c>
      <c r="K49" s="5">
        <f>DATE(YEAR,October,1+7*_5th_weekday_occurrence)-WEEKDAY(DATE(YEAR,October,8-Friday))</f>
        <v>45597</v>
      </c>
      <c r="L49" s="5" t="s">
        <v>710</v>
      </c>
      <c r="M49" s="55">
        <f>IF(O49&gt;0,O49,SMALL(G49:K49,COUNTIF(G49:K49,0)+1))</f>
        <v>45594</v>
      </c>
      <c r="N49" s="41"/>
    </row>
    <row r="50" spans="2:14" ht="15" customHeight="1" x14ac:dyDescent="0.25">
      <c r="B50" s="4">
        <v>2003</v>
      </c>
      <c r="C50" t="s">
        <v>681</v>
      </c>
      <c r="D50" s="8" t="s">
        <v>579</v>
      </c>
      <c r="E50" s="8" t="s">
        <v>225</v>
      </c>
      <c r="F50" s="54" t="s">
        <v>511</v>
      </c>
      <c r="G50" s="55">
        <f>DATE(YEAR,October,1+7*_5th_weekday_occurrence)-WEEKDAY(DATE(YEAR,October,8-Monday))</f>
        <v>45600</v>
      </c>
      <c r="H50" s="55">
        <f>DATE(YEAR,October,1+7*_5th_weekday_occurrence)-WEEKDAY(DATE(YEAR,October,8-Tuesday))</f>
        <v>45594</v>
      </c>
      <c r="I50" s="55">
        <f>DATE(YEAR,October,1+7*_5th_weekday_occurrence)-WEEKDAY(DATE(YEAR,October,8-Wednesday))</f>
        <v>45595</v>
      </c>
      <c r="J50" s="55">
        <f>DATE(YEAR,October,1+7*_5th_weekday_occurrence)-WEEKDAY(DATE(YEAR,October,8-Thursday))</f>
        <v>45596</v>
      </c>
      <c r="K50" s="55">
        <f>DATE(YEAR,October,1+7*_5th_weekday_occurrence)-WEEKDAY(DATE(YEAR,October,8-Friday))</f>
        <v>45597</v>
      </c>
      <c r="L50" s="51" t="s">
        <v>672</v>
      </c>
      <c r="M50" s="55">
        <f>IF(O50&gt;0,O50,SMALL(G50:K50,COUNTIF(G50:K50,0)+1))</f>
        <v>45594</v>
      </c>
    </row>
    <row r="51" spans="2:14" ht="15" customHeight="1" x14ac:dyDescent="0.25">
      <c r="B51" s="4">
        <v>2013</v>
      </c>
      <c r="C51" t="s">
        <v>196</v>
      </c>
      <c r="D51" s="8" t="s">
        <v>579</v>
      </c>
      <c r="F51" t="s">
        <v>530</v>
      </c>
      <c r="L51" s="51" t="s">
        <v>673</v>
      </c>
      <c r="M51" s="55">
        <f>IF(O51&gt;0,O51,WORKDAY(EOMONTH(DATE(YEAR,1,1),(October-1))+1,-1))</f>
        <v>45596</v>
      </c>
    </row>
    <row r="52" spans="2:14" ht="15" customHeight="1" x14ac:dyDescent="0.25">
      <c r="B52" s="4">
        <v>315</v>
      </c>
      <c r="C52" t="s">
        <v>197</v>
      </c>
      <c r="D52" s="8" t="s">
        <v>579</v>
      </c>
      <c r="F52" s="42" t="s">
        <v>198</v>
      </c>
      <c r="G52" s="26"/>
      <c r="H52" s="26"/>
      <c r="I52" s="26"/>
      <c r="J52" s="26"/>
      <c r="K52" s="26"/>
      <c r="L52" s="5" t="s">
        <v>708</v>
      </c>
      <c r="M52" s="44">
        <f>IF(O52&gt;0,O52,DATE(YEAR,November,1+7*_1st_weekday_occurrence)-WEEKDAY(DATE(YEAR,November,8-Friday)))</f>
        <v>45597</v>
      </c>
      <c r="N52" s="41"/>
    </row>
    <row r="53" spans="2:14" ht="15" customHeight="1" x14ac:dyDescent="0.25">
      <c r="B53" s="4">
        <v>577</v>
      </c>
      <c r="C53" t="s">
        <v>38</v>
      </c>
      <c r="D53" s="8" t="s">
        <v>579</v>
      </c>
      <c r="E53" s="8" t="s">
        <v>225</v>
      </c>
      <c r="F53" s="15" t="s">
        <v>198</v>
      </c>
      <c r="G53" s="26"/>
      <c r="H53" s="26"/>
      <c r="I53" s="26"/>
      <c r="J53" s="26"/>
      <c r="K53" s="26"/>
      <c r="L53" s="5" t="s">
        <v>709</v>
      </c>
      <c r="M53" s="44">
        <f>IF(O53&gt;0,O53,DATE(YEAR,November,1+7*_1st_weekday_occurrence)-WEEKDAY(DATE(YEAR,November,8-Friday)))</f>
        <v>45597</v>
      </c>
      <c r="N53" s="41"/>
    </row>
    <row r="54" spans="2:14" ht="15" customHeight="1" x14ac:dyDescent="0.25">
      <c r="B54" s="4">
        <v>1984</v>
      </c>
      <c r="C54" t="s">
        <v>199</v>
      </c>
      <c r="D54" s="8" t="s">
        <v>579</v>
      </c>
      <c r="F54" s="42" t="s">
        <v>200</v>
      </c>
      <c r="G54" s="26"/>
      <c r="H54" s="26"/>
      <c r="I54" s="26"/>
      <c r="J54" s="26"/>
      <c r="K54" s="26"/>
      <c r="L54" s="51" t="s">
        <v>673</v>
      </c>
      <c r="M54" s="55">
        <f>IF(O54&gt;0,O54,DATE(YEAR,November,1+7*_1st_weekday_occurrence)-WEEKDAY(DATE(YEAR,November,8-Saturday)))</f>
        <v>45598</v>
      </c>
      <c r="N54" s="43"/>
    </row>
    <row r="55" spans="2:14" ht="15" customHeight="1" x14ac:dyDescent="0.25">
      <c r="B55" s="4">
        <v>652</v>
      </c>
      <c r="C55" t="s">
        <v>587</v>
      </c>
      <c r="D55" s="8" t="s">
        <v>579</v>
      </c>
      <c r="E55" s="8" t="s">
        <v>225</v>
      </c>
      <c r="F55" s="15" t="s">
        <v>472</v>
      </c>
      <c r="G55" s="26"/>
      <c r="H55" s="26"/>
      <c r="I55" s="26"/>
      <c r="J55" s="26"/>
      <c r="K55" s="26"/>
      <c r="L55" s="42" t="s">
        <v>709</v>
      </c>
      <c r="M55" s="55">
        <f>IF(O55&gt;0,O55,DATE(YEAR,November,1+7*_1st_weekday_occurrence)-WEEKDAY(DATE(YEAR,November,8-Tuesday)))</f>
        <v>45601</v>
      </c>
      <c r="N55" s="41"/>
    </row>
    <row r="56" spans="2:14" ht="15" customHeight="1" x14ac:dyDescent="0.25">
      <c r="B56" s="4">
        <v>742</v>
      </c>
      <c r="C56" t="s">
        <v>97</v>
      </c>
      <c r="D56" s="8" t="s">
        <v>579</v>
      </c>
      <c r="F56" s="14" t="s">
        <v>472</v>
      </c>
      <c r="G56" s="26"/>
      <c r="H56" s="26"/>
      <c r="I56" s="26"/>
      <c r="J56" s="26"/>
      <c r="K56" s="26"/>
      <c r="L56" s="5" t="s">
        <v>709</v>
      </c>
      <c r="M56" s="55">
        <f>IF(O56&gt;0,O56,DATE(YEAR,November,1+7*_1st_weekday_occurrence)-WEEKDAY(DATE(YEAR,November,8-Tuesday)))</f>
        <v>45601</v>
      </c>
      <c r="N56" s="41"/>
    </row>
    <row r="57" spans="2:14" ht="15" customHeight="1" x14ac:dyDescent="0.25">
      <c r="B57" s="4">
        <v>1124</v>
      </c>
      <c r="C57" t="s">
        <v>74</v>
      </c>
      <c r="D57" s="8" t="s">
        <v>579</v>
      </c>
      <c r="E57" s="8" t="s">
        <v>225</v>
      </c>
      <c r="F57" s="15" t="s">
        <v>493</v>
      </c>
      <c r="G57" s="26"/>
      <c r="H57" s="26"/>
      <c r="I57" s="26"/>
      <c r="J57" s="26"/>
      <c r="K57" s="26"/>
      <c r="L57" s="5" t="s">
        <v>710</v>
      </c>
      <c r="M57" s="55">
        <f>IF(O57&gt;0,O57,DATE(YEAR,November,1+7*_1st_weekday_occurrence)-WEEKDAY(DATE(YEAR,November,8-Wednesday)))</f>
        <v>45602</v>
      </c>
      <c r="N57" s="41"/>
    </row>
    <row r="58" spans="2:14" ht="15" customHeight="1" x14ac:dyDescent="0.25">
      <c r="B58" s="4">
        <v>400</v>
      </c>
      <c r="C58" t="s">
        <v>584</v>
      </c>
      <c r="D58" s="8" t="s">
        <v>579</v>
      </c>
      <c r="E58" s="8" t="s">
        <v>225</v>
      </c>
      <c r="F58" s="15" t="s">
        <v>458</v>
      </c>
      <c r="G58" s="26"/>
      <c r="H58" s="26"/>
      <c r="I58" s="26"/>
      <c r="J58" s="26"/>
      <c r="K58" s="26"/>
      <c r="L58" s="51" t="s">
        <v>673</v>
      </c>
      <c r="M58" s="55">
        <f>IF(O58&gt;0,O58,DATE(YEAR,November,1+7*_1st_weekday_occurrence)-WEEKDAY(DATE(YEAR,November,8-Thursday)))</f>
        <v>45603</v>
      </c>
      <c r="N58" s="41"/>
    </row>
    <row r="59" spans="2:14" ht="15" customHeight="1" x14ac:dyDescent="0.25">
      <c r="B59" s="4">
        <v>410</v>
      </c>
      <c r="C59" t="s">
        <v>585</v>
      </c>
      <c r="D59" s="8" t="s">
        <v>579</v>
      </c>
      <c r="E59" s="8" t="s">
        <v>225</v>
      </c>
      <c r="F59" s="15" t="s">
        <v>459</v>
      </c>
      <c r="G59" s="26"/>
      <c r="H59" s="26"/>
      <c r="I59" s="26"/>
      <c r="J59" s="26"/>
      <c r="K59" s="26"/>
      <c r="L59" t="s">
        <v>693</v>
      </c>
      <c r="M59" s="55">
        <f>IF(O59&gt;0,O59,DATE(YEAR,November,1+7*_2nd_weekday_occurrence)-WEEKDAY(DATE(YEAR,November,8-Monday)))</f>
        <v>45607</v>
      </c>
      <c r="N59" s="41"/>
    </row>
    <row r="60" spans="2:14" ht="15" customHeight="1" x14ac:dyDescent="0.25">
      <c r="B60" s="4">
        <v>489</v>
      </c>
      <c r="C60" t="s">
        <v>202</v>
      </c>
      <c r="D60" s="8" t="s">
        <v>579</v>
      </c>
      <c r="F60" s="42" t="s">
        <v>203</v>
      </c>
      <c r="G60" s="26"/>
      <c r="H60" s="26"/>
      <c r="I60" s="26"/>
      <c r="J60" s="26"/>
      <c r="K60" s="26"/>
      <c r="L60" t="s">
        <v>708</v>
      </c>
      <c r="M60" s="55">
        <f>IF(O60&gt;0,O60,DATE(YEAR,November,1+7*_2nd_weekday_occurrence)-WEEKDAY(DATE(YEAR,November,8-Tuesday)))</f>
        <v>45608</v>
      </c>
      <c r="N60" s="41"/>
    </row>
    <row r="61" spans="2:14" ht="15" customHeight="1" x14ac:dyDescent="0.25">
      <c r="B61" s="4">
        <v>1856</v>
      </c>
      <c r="C61" t="s">
        <v>204</v>
      </c>
      <c r="D61" s="8" t="s">
        <v>579</v>
      </c>
      <c r="F61" s="42" t="s">
        <v>205</v>
      </c>
      <c r="G61" s="26"/>
      <c r="H61" s="26"/>
      <c r="I61" s="26"/>
      <c r="J61" s="26"/>
      <c r="K61" s="26"/>
      <c r="L61" t="s">
        <v>708</v>
      </c>
      <c r="M61" s="55">
        <f>IF(O61&gt;0,O61,DATE(YEAR,November,1+7*_2nd_weekday_occurrence)-WEEKDAY(DATE(YEAR,November,8-Tuesday)))</f>
        <v>45608</v>
      </c>
      <c r="N61" s="41"/>
    </row>
    <row r="62" spans="2:14" ht="15" customHeight="1" x14ac:dyDescent="0.25">
      <c r="B62" s="4">
        <v>107</v>
      </c>
      <c r="C62" t="s">
        <v>581</v>
      </c>
      <c r="D62" s="8" t="s">
        <v>579</v>
      </c>
      <c r="F62" s="15" t="s">
        <v>444</v>
      </c>
      <c r="G62" s="26"/>
      <c r="H62" s="26"/>
      <c r="I62" s="26"/>
      <c r="J62" s="26"/>
      <c r="K62" s="26"/>
      <c r="L62" t="s">
        <v>708</v>
      </c>
      <c r="M62" s="44">
        <f>IF(O62&gt;0,O62,DATE(YEAR,November,1+7*_2nd_weekday_occurrence)-WEEKDAY(DATE(YEAR,November,8-Thursday)))</f>
        <v>45610</v>
      </c>
      <c r="N62" s="41"/>
    </row>
    <row r="63" spans="2:14" ht="15" customHeight="1" x14ac:dyDescent="0.25">
      <c r="B63" s="4">
        <v>385</v>
      </c>
      <c r="C63" t="s">
        <v>33</v>
      </c>
      <c r="D63" s="8" t="s">
        <v>579</v>
      </c>
      <c r="E63" s="8" t="s">
        <v>225</v>
      </c>
      <c r="F63" s="15" t="s">
        <v>444</v>
      </c>
      <c r="G63" s="26"/>
      <c r="H63" s="26"/>
      <c r="I63" s="26"/>
      <c r="J63" s="26"/>
      <c r="K63" s="26"/>
      <c r="L63" t="s">
        <v>708</v>
      </c>
      <c r="M63" s="55">
        <f>IF(O63&gt;0,O63,DATE(YEAR,November,1+7*_2nd_weekday_occurrence)-WEEKDAY(DATE(YEAR,November,8-Thursday)))</f>
        <v>45610</v>
      </c>
      <c r="N63" s="41"/>
    </row>
    <row r="64" spans="2:14" ht="15" customHeight="1" x14ac:dyDescent="0.25">
      <c r="B64" s="4">
        <v>647</v>
      </c>
      <c r="C64" t="s">
        <v>4</v>
      </c>
      <c r="D64" s="8" t="s">
        <v>579</v>
      </c>
      <c r="F64" s="15" t="s">
        <v>444</v>
      </c>
      <c r="G64" s="26"/>
      <c r="H64" s="26"/>
      <c r="I64" s="26"/>
      <c r="J64" s="26"/>
      <c r="K64" s="26"/>
      <c r="L64" t="s">
        <v>693</v>
      </c>
      <c r="M64" s="55">
        <f>IF(O64&gt;0,O64,DATE(YEAR,November,1+7*_2nd_weekday_occurrence)-WEEKDAY(DATE(YEAR,November,8-Thursday)))</f>
        <v>45610</v>
      </c>
      <c r="N64" s="41"/>
    </row>
    <row r="65" spans="2:14" ht="15" customHeight="1" x14ac:dyDescent="0.25">
      <c r="B65" s="4">
        <v>1604</v>
      </c>
      <c r="C65" t="s">
        <v>121</v>
      </c>
      <c r="D65" s="8" t="s">
        <v>579</v>
      </c>
      <c r="E65" s="8" t="s">
        <v>225</v>
      </c>
      <c r="F65" s="14" t="s">
        <v>505</v>
      </c>
      <c r="G65" s="26"/>
      <c r="H65" s="26"/>
      <c r="I65" s="26"/>
      <c r="J65" s="26"/>
      <c r="K65" s="26"/>
      <c r="L65" s="26" t="s">
        <v>672</v>
      </c>
      <c r="M65" s="55">
        <f>IF(O65&gt;0,O65,DATE(YEAR,November,1+7*_3rd_weekday_occurrence)-WEEKDAY(DATE(YEAR,November,8-Saturday)))</f>
        <v>45612</v>
      </c>
      <c r="N65" s="43"/>
    </row>
    <row r="66" spans="2:14" ht="15" customHeight="1" x14ac:dyDescent="0.25">
      <c r="B66" s="4">
        <v>139</v>
      </c>
      <c r="C66" t="s">
        <v>206</v>
      </c>
      <c r="D66" s="8" t="s">
        <v>579</v>
      </c>
      <c r="F66" s="42" t="s">
        <v>207</v>
      </c>
      <c r="G66" s="26"/>
      <c r="H66" s="26"/>
      <c r="I66" s="26"/>
      <c r="J66" s="26"/>
      <c r="K66" s="26"/>
      <c r="L66" s="42" t="s">
        <v>710</v>
      </c>
      <c r="M66" s="44">
        <f>IF(O66&gt;0,O66,DATE(YEAR,November,1+7*_3rd_weekday_occurrence)-WEEKDAY(DATE(YEAR,November,8-Wednesday)))</f>
        <v>45616</v>
      </c>
      <c r="N66" s="41"/>
    </row>
    <row r="67" spans="2:14" ht="15" customHeight="1" x14ac:dyDescent="0.25">
      <c r="B67" s="4">
        <v>361</v>
      </c>
      <c r="C67" t="s">
        <v>208</v>
      </c>
      <c r="D67" s="8" t="s">
        <v>579</v>
      </c>
      <c r="F67" s="42" t="s">
        <v>209</v>
      </c>
      <c r="G67" s="26"/>
      <c r="H67" s="26"/>
      <c r="I67" s="26"/>
      <c r="J67" s="26"/>
      <c r="K67" s="26"/>
      <c r="L67" s="51" t="s">
        <v>673</v>
      </c>
      <c r="M67" s="44">
        <f>IF(O67&gt;0,O67,DATE(YEAR,November,1+7*_3rd_weekday_occurrence)-WEEKDAY(DATE(YEAR,November,8-Thursday)))</f>
        <v>45617</v>
      </c>
      <c r="N67" s="41"/>
    </row>
    <row r="68" spans="2:14" ht="15" customHeight="1" x14ac:dyDescent="0.25">
      <c r="B68" s="4">
        <v>431</v>
      </c>
      <c r="C68" t="s">
        <v>89</v>
      </c>
      <c r="D68" s="8" t="s">
        <v>579</v>
      </c>
      <c r="E68" s="8" t="s">
        <v>225</v>
      </c>
      <c r="F68" s="15" t="s">
        <v>460</v>
      </c>
      <c r="G68" s="26"/>
      <c r="H68" s="26"/>
      <c r="I68" s="26"/>
      <c r="J68" s="26"/>
      <c r="K68" s="26"/>
      <c r="L68" s="42" t="s">
        <v>710</v>
      </c>
      <c r="M68" s="55">
        <f>IF(O68&gt;0,O68,DATE(YEAR,November,1+7*_3rd_weekday_occurrence)-WEEKDAY(DATE(YEAR,November,8-Thursday)))</f>
        <v>45617</v>
      </c>
      <c r="N68" s="41"/>
    </row>
    <row r="69" spans="2:14" ht="15" customHeight="1" x14ac:dyDescent="0.25">
      <c r="B69" s="4">
        <v>1118</v>
      </c>
      <c r="C69" t="s">
        <v>210</v>
      </c>
      <c r="D69" s="8" t="s">
        <v>579</v>
      </c>
      <c r="F69" s="42" t="s">
        <v>209</v>
      </c>
      <c r="G69" s="26"/>
      <c r="H69" s="26"/>
      <c r="I69" s="26"/>
      <c r="J69" s="26"/>
      <c r="K69" s="26"/>
      <c r="L69" t="s">
        <v>709</v>
      </c>
      <c r="M69" s="55">
        <f>IF(O69&gt;0,O69,DATE(YEAR,November,1+7*_3rd_weekday_occurrence)-WEEKDAY(DATE(YEAR,November,8-Thursday)))</f>
        <v>45617</v>
      </c>
      <c r="N69" s="41"/>
    </row>
    <row r="70" spans="2:14" ht="15" customHeight="1" x14ac:dyDescent="0.25">
      <c r="B70" s="4">
        <v>1978</v>
      </c>
      <c r="C70" t="s">
        <v>211</v>
      </c>
      <c r="D70" s="8" t="s">
        <v>579</v>
      </c>
      <c r="F70" s="42" t="s">
        <v>212</v>
      </c>
      <c r="G70" s="26"/>
      <c r="H70" s="26"/>
      <c r="I70" s="26"/>
      <c r="J70" s="26"/>
      <c r="K70" s="26"/>
      <c r="L70" s="51" t="s">
        <v>708</v>
      </c>
      <c r="M70" s="55">
        <f>IF(O70&gt;0,O70,DATE(YEAR,November,1+7*_4th_weekday_occurrence)-WEEKDAY(DATE(YEAR,November,8-Tuesday)))</f>
        <v>45622</v>
      </c>
      <c r="N70" s="41"/>
    </row>
    <row r="71" spans="2:14" ht="15" customHeight="1" x14ac:dyDescent="0.25">
      <c r="B71" s="4" t="s">
        <v>138</v>
      </c>
      <c r="C71" t="s">
        <v>139</v>
      </c>
      <c r="D71" s="8" t="s">
        <v>579</v>
      </c>
      <c r="F71" s="15" t="s">
        <v>523</v>
      </c>
      <c r="L71" s="51" t="s">
        <v>673</v>
      </c>
      <c r="M71" s="55">
        <f>IF(O68&gt;0,O68,DATE(YEAR,November,1+7*_4th_weekday_occurrence)-WEEKDAY(DATE(YEAR,November,8-Tuesday)))</f>
        <v>45622</v>
      </c>
    </row>
    <row r="72" spans="2:14" ht="15" customHeight="1" x14ac:dyDescent="0.25">
      <c r="B72" s="4">
        <v>7</v>
      </c>
      <c r="C72" t="s">
        <v>42</v>
      </c>
      <c r="D72" s="8" t="s">
        <v>579</v>
      </c>
      <c r="E72" s="8" t="s">
        <v>225</v>
      </c>
      <c r="F72" t="s">
        <v>439</v>
      </c>
      <c r="L72" t="s">
        <v>710</v>
      </c>
      <c r="M72" s="55">
        <f>IF(O72&gt;0,O72,DATE(YEAR,December,1-7+7*_1st_weekday_occurrence)-WEEKDAY(DATE(YEAR,December,8-Thursday)))</f>
        <v>45624</v>
      </c>
      <c r="N72" s="41"/>
    </row>
    <row r="73" spans="2:14" ht="15" customHeight="1" x14ac:dyDescent="0.25">
      <c r="B73" s="4">
        <v>197</v>
      </c>
      <c r="C73" t="s">
        <v>213</v>
      </c>
      <c r="D73" s="8" t="s">
        <v>579</v>
      </c>
      <c r="F73" s="42" t="s">
        <v>214</v>
      </c>
      <c r="G73" s="26"/>
      <c r="H73" s="26"/>
      <c r="I73" s="26"/>
      <c r="J73" s="26"/>
      <c r="K73" s="26"/>
      <c r="L73" s="26" t="s">
        <v>672</v>
      </c>
      <c r="M73" s="44">
        <f>IF(O73&gt;0,O73,DATE(YEAR,November,1+7*_4th_weekday_occurrence)-WEEKDAY(DATE(YEAR,November,8-Thursday)))</f>
        <v>45624</v>
      </c>
      <c r="N73" s="41"/>
    </row>
    <row r="74" spans="2:14" ht="15" customHeight="1" x14ac:dyDescent="0.25">
      <c r="B74" s="4">
        <v>828</v>
      </c>
      <c r="C74" t="s">
        <v>111</v>
      </c>
      <c r="D74" s="8" t="s">
        <v>579</v>
      </c>
      <c r="F74" s="14" t="s">
        <v>479</v>
      </c>
      <c r="G74" s="26"/>
      <c r="H74" s="26"/>
      <c r="I74" s="26"/>
      <c r="J74" s="26"/>
      <c r="K74" s="26"/>
      <c r="L74" t="s">
        <v>709</v>
      </c>
      <c r="M74" s="55">
        <f>IF(O74&gt;0,O74,DATE(YEAR,November,1+7*_4th_weekday_occurrence)-WEEKDAY(DATE(YEAR,November,8-Thursday)))</f>
        <v>45624</v>
      </c>
      <c r="N74" s="41"/>
    </row>
    <row r="75" spans="2:14" ht="15" customHeight="1" x14ac:dyDescent="0.25">
      <c r="B75" s="4">
        <v>234</v>
      </c>
      <c r="C75" t="s">
        <v>104</v>
      </c>
      <c r="D75" s="8" t="s">
        <v>579</v>
      </c>
      <c r="E75" s="8" t="s">
        <v>225</v>
      </c>
      <c r="F75" s="15" t="s">
        <v>450</v>
      </c>
      <c r="G75" s="26"/>
      <c r="H75" s="26"/>
      <c r="I75" s="26"/>
      <c r="J75" s="26"/>
      <c r="K75" s="26"/>
      <c r="L75" s="26" t="s">
        <v>672</v>
      </c>
      <c r="M75" s="44">
        <f>IF(O75&gt;0,O75,DATE(YEAR,December,1+7*_1st_weekday_occurrence)-WEEKDAY(DATE(YEAR,December,8-Monday)))</f>
        <v>45628</v>
      </c>
      <c r="N75" s="41"/>
    </row>
    <row r="76" spans="2:14" ht="15" customHeight="1" x14ac:dyDescent="0.25">
      <c r="B76" s="4">
        <v>1363</v>
      </c>
      <c r="C76" t="s">
        <v>28</v>
      </c>
      <c r="D76" s="8" t="s">
        <v>579</v>
      </c>
      <c r="E76" s="8" t="s">
        <v>225</v>
      </c>
      <c r="F76" s="14" t="s">
        <v>450</v>
      </c>
      <c r="G76" s="26"/>
      <c r="H76" s="26"/>
      <c r="I76" s="26"/>
      <c r="J76" s="26"/>
      <c r="K76" s="26"/>
      <c r="L76" s="5" t="s">
        <v>710</v>
      </c>
      <c r="M76" s="55">
        <f>IF(O76&gt;0,O76,DATE(YEAR,December,1+7*_1st_weekday_occurrence)-WEEKDAY(DATE(YEAR,December,8-Monday)))</f>
        <v>45628</v>
      </c>
      <c r="N76" s="41"/>
    </row>
    <row r="77" spans="2:14" ht="15" customHeight="1" x14ac:dyDescent="0.25">
      <c r="B77" s="4">
        <v>897</v>
      </c>
      <c r="C77" t="s">
        <v>167</v>
      </c>
      <c r="D77" s="8" t="s">
        <v>579</v>
      </c>
      <c r="E77" s="8" t="s">
        <v>225</v>
      </c>
      <c r="F77" s="14" t="s">
        <v>475</v>
      </c>
      <c r="G77" s="26"/>
      <c r="H77" s="26"/>
      <c r="I77" s="26"/>
      <c r="J77" s="26"/>
      <c r="K77" s="26"/>
      <c r="L77" s="5" t="s">
        <v>710</v>
      </c>
      <c r="M77" s="55">
        <f>IF(O77&gt;0,O77,DATE(YEAR,December,1+7*_1st_weekday_occurrence)-WEEKDAY(DATE(YEAR,December,8-Tuesday)))</f>
        <v>45629</v>
      </c>
      <c r="N77" s="41"/>
    </row>
    <row r="78" spans="2:14" ht="15" customHeight="1" x14ac:dyDescent="0.25">
      <c r="B78" s="4">
        <v>1160</v>
      </c>
      <c r="C78" t="s">
        <v>78</v>
      </c>
      <c r="D78" s="8" t="s">
        <v>579</v>
      </c>
      <c r="F78" s="15" t="s">
        <v>495</v>
      </c>
      <c r="G78" s="26"/>
      <c r="H78" s="26"/>
      <c r="I78" s="26"/>
      <c r="J78" s="26"/>
      <c r="K78" s="26"/>
      <c r="L78" t="s">
        <v>693</v>
      </c>
      <c r="M78" s="55">
        <f>IF(O78&gt;0,O78,DATE(YEAR,December,1+7*_1st_weekday_occurrence)-WEEKDAY(DATE(YEAR,December,8-Thursday)))</f>
        <v>45631</v>
      </c>
      <c r="N78" s="41"/>
    </row>
    <row r="79" spans="2:14" ht="15" customHeight="1" x14ac:dyDescent="0.25">
      <c r="B79" s="4">
        <v>728</v>
      </c>
      <c r="C79" t="s">
        <v>86</v>
      </c>
      <c r="D79" s="8" t="s">
        <v>579</v>
      </c>
      <c r="E79" s="8" t="s">
        <v>225</v>
      </c>
      <c r="F79" s="15" t="s">
        <v>474</v>
      </c>
      <c r="G79" s="26"/>
      <c r="H79" s="26"/>
      <c r="I79" s="26"/>
      <c r="J79" s="26"/>
      <c r="K79" s="26"/>
      <c r="L79" t="s">
        <v>708</v>
      </c>
      <c r="M79" s="55">
        <f>IF(O79&gt;0,O79,DATE(YEAR,December,1+7*_1st_weekday_occurrence)-WEEKDAY(DATE(YEAR,December,8-Friday)))</f>
        <v>45632</v>
      </c>
      <c r="N79" s="41"/>
    </row>
    <row r="80" spans="2:14" ht="15" customHeight="1" x14ac:dyDescent="0.25">
      <c r="B80" s="4">
        <v>1909</v>
      </c>
      <c r="C80" t="s">
        <v>102</v>
      </c>
      <c r="D80" s="8" t="s">
        <v>579</v>
      </c>
      <c r="F80" s="15" t="s">
        <v>514</v>
      </c>
      <c r="G80" s="26"/>
      <c r="H80" s="26"/>
      <c r="I80" s="26"/>
      <c r="J80" s="26"/>
      <c r="K80" s="26"/>
      <c r="L80" s="5" t="s">
        <v>710</v>
      </c>
      <c r="M80" s="55">
        <f>IF(O80&gt;0,O80,DATE(YEAR,December,1+7*_1st_weekday_occurrence)-WEEKDAY(DATE(YEAR,December,8-Saturday)))</f>
        <v>45633</v>
      </c>
      <c r="N80" s="41"/>
    </row>
    <row r="81" spans="2:14" ht="15" customHeight="1" x14ac:dyDescent="0.25">
      <c r="B81" s="4">
        <v>1638</v>
      </c>
      <c r="C81" t="s">
        <v>75</v>
      </c>
      <c r="D81" s="8" t="s">
        <v>579</v>
      </c>
      <c r="F81" s="15" t="s">
        <v>217</v>
      </c>
      <c r="G81" s="26"/>
      <c r="H81" s="26"/>
      <c r="I81" s="26"/>
      <c r="J81" s="26"/>
      <c r="K81" s="26"/>
      <c r="L81" t="s">
        <v>672</v>
      </c>
      <c r="M81" s="44">
        <f>IF(O81&gt;0,O81,DATE(YEAR,December,1+7*_2nd_weekday_occurrence)-WEEKDAY(DATE(YEAR,December,8-Wednesday)))</f>
        <v>45637</v>
      </c>
      <c r="N81" s="41"/>
    </row>
    <row r="82" spans="2:14" ht="15" customHeight="1" x14ac:dyDescent="0.25">
      <c r="B82" s="4">
        <v>802</v>
      </c>
      <c r="C82" t="s">
        <v>169</v>
      </c>
      <c r="D82" s="8" t="s">
        <v>579</v>
      </c>
      <c r="F82" s="15" t="s">
        <v>477</v>
      </c>
      <c r="G82" s="26"/>
      <c r="H82" s="26"/>
      <c r="I82" s="26"/>
      <c r="J82" s="26"/>
      <c r="K82" s="26"/>
      <c r="L82" s="42" t="s">
        <v>709</v>
      </c>
      <c r="M82" s="55">
        <f>IF(O82&gt;0,O82,DATE(YEAR,December,1+7*_2nd_weekday_occurrence)-WEEKDAY(DATE(YEAR,December,8-Thursday)))</f>
        <v>45638</v>
      </c>
      <c r="N82" s="41"/>
    </row>
    <row r="83" spans="2:14" ht="15" customHeight="1" x14ac:dyDescent="0.25">
      <c r="B83" s="4">
        <v>433</v>
      </c>
      <c r="C83" t="s">
        <v>220</v>
      </c>
      <c r="D83" s="8" t="s">
        <v>579</v>
      </c>
      <c r="F83" s="42" t="s">
        <v>221</v>
      </c>
      <c r="G83" s="26"/>
      <c r="H83" s="26"/>
      <c r="I83" s="26"/>
      <c r="J83" s="26"/>
      <c r="K83" s="26"/>
      <c r="L83" s="51" t="s">
        <v>673</v>
      </c>
      <c r="M83" s="55">
        <f>IF(O83&gt;0,O83,DATE(YEAR,December,1+7*_2nd_weekday_occurrence)-WEEKDAY(DATE(YEAR,December,8-Friday)))</f>
        <v>45639</v>
      </c>
      <c r="N83" s="41"/>
    </row>
    <row r="84" spans="2:14" ht="15" customHeight="1" x14ac:dyDescent="0.25">
      <c r="B84" s="4">
        <v>1473</v>
      </c>
      <c r="C84" t="s">
        <v>101</v>
      </c>
      <c r="D84" s="8" t="s">
        <v>579</v>
      </c>
      <c r="F84" s="15" t="s">
        <v>503</v>
      </c>
      <c r="G84" s="26"/>
      <c r="H84" s="26"/>
      <c r="I84" s="26"/>
      <c r="J84" s="26"/>
      <c r="K84" s="26"/>
      <c r="L84" s="26" t="s">
        <v>672</v>
      </c>
      <c r="M84" s="55">
        <f>IF(O84&gt;0,O84,DATE(YEAR,December,1+7*_3rd_weekday_occurrence)-WEEKDAY(DATE(YEAR,December,8-Wednesday)))</f>
        <v>45644</v>
      </c>
      <c r="N84" s="41"/>
    </row>
    <row r="85" spans="2:14" ht="15" customHeight="1" x14ac:dyDescent="0.25">
      <c r="B85" s="4">
        <v>5</v>
      </c>
      <c r="C85" t="s">
        <v>178</v>
      </c>
      <c r="D85" s="8" t="s">
        <v>579</v>
      </c>
      <c r="E85" s="8" t="s">
        <v>225</v>
      </c>
      <c r="F85" s="14" t="s">
        <v>437</v>
      </c>
      <c r="L85" s="51" t="s">
        <v>708</v>
      </c>
      <c r="M85" s="55">
        <f>IF(O85&gt;0,O85,DATE(YEAR+1,January,1+7*_2nd_weekday_occurrence)-WEEKDAY(DATE(YEAR+1,January,8-Wednesday)))</f>
        <v>45665</v>
      </c>
      <c r="N85" s="41"/>
    </row>
    <row r="86" spans="2:14" ht="15" customHeight="1" x14ac:dyDescent="0.25">
      <c r="B86" s="4">
        <v>487</v>
      </c>
      <c r="C86" t="s">
        <v>46</v>
      </c>
      <c r="D86" s="8" t="s">
        <v>579</v>
      </c>
      <c r="F86" s="42" t="s">
        <v>437</v>
      </c>
      <c r="G86" s="26"/>
      <c r="H86" s="26"/>
      <c r="I86" s="26"/>
      <c r="J86" s="26"/>
      <c r="K86" s="26"/>
      <c r="L86" s="5" t="s">
        <v>710</v>
      </c>
      <c r="M86" s="55">
        <f>IF(O86&gt;0,O86,DATE(YEAR+1,January,1+7*_2nd_weekday_occurrence)-WEEKDAY(DATE(YEAR+1,January,8-Wednesday)))</f>
        <v>45665</v>
      </c>
      <c r="N86" s="41"/>
    </row>
    <row r="87" spans="2:14" ht="15" customHeight="1" x14ac:dyDescent="0.25">
      <c r="B87" s="4">
        <v>1313</v>
      </c>
      <c r="C87" t="s">
        <v>152</v>
      </c>
      <c r="D87" s="8" t="s">
        <v>579</v>
      </c>
      <c r="E87" s="8" t="s">
        <v>225</v>
      </c>
      <c r="F87" s="14" t="s">
        <v>498</v>
      </c>
      <c r="G87" s="26"/>
      <c r="H87" s="26"/>
      <c r="I87" s="26"/>
      <c r="J87" s="26"/>
      <c r="K87" s="26"/>
      <c r="L87" s="26" t="s">
        <v>672</v>
      </c>
      <c r="M87" s="55">
        <f>IF(O87&gt;0,O87,DATE(YEAR+1,January,1+7*_2nd_weekday_occurrence)-WEEKDAY(DATE(YEAR+1,January,8-Thursday)))</f>
        <v>45666</v>
      </c>
      <c r="N87" s="41"/>
    </row>
    <row r="88" spans="2:14" ht="15" customHeight="1" x14ac:dyDescent="0.25">
      <c r="B88" s="4">
        <v>2022</v>
      </c>
      <c r="C88" t="s">
        <v>163</v>
      </c>
      <c r="D88" s="8" t="s">
        <v>579</v>
      </c>
      <c r="E88" s="8" t="s">
        <v>225</v>
      </c>
      <c r="F88" s="14" t="s">
        <v>515</v>
      </c>
      <c r="G88" s="26"/>
      <c r="H88" s="26"/>
      <c r="I88" s="26"/>
      <c r="J88" s="26"/>
      <c r="K88" s="26"/>
      <c r="L88" s="5" t="s">
        <v>710</v>
      </c>
      <c r="M88" s="55">
        <f>IF(O88&gt;0,O88,DATE(YEAR+1,January,1+7*_2nd_weekday_occurrence)-WEEKDAY(DATE(YEAR+1,January,8-Saturday)))</f>
        <v>45668</v>
      </c>
    </row>
    <row r="89" spans="2:14" ht="15" customHeight="1" x14ac:dyDescent="0.25">
      <c r="B89" s="4">
        <v>801</v>
      </c>
      <c r="C89" t="s">
        <v>6</v>
      </c>
      <c r="D89" s="8" t="s">
        <v>579</v>
      </c>
      <c r="F89" s="42" t="s">
        <v>7</v>
      </c>
      <c r="G89" s="26"/>
      <c r="H89" s="26"/>
      <c r="I89" s="26"/>
      <c r="J89" s="26"/>
      <c r="K89" s="26"/>
      <c r="L89" s="42" t="s">
        <v>708</v>
      </c>
      <c r="M89" s="55">
        <f>IF(O89&gt;0,O89,DATE(YEAR+1,January,1+7*_2nd_weekday_occurrence)-WEEKDAY(DATE(YEAR+1,January,8-Monday)))</f>
        <v>45670</v>
      </c>
      <c r="N89" s="41"/>
    </row>
    <row r="90" spans="2:14" ht="15" customHeight="1" x14ac:dyDescent="0.25">
      <c r="B90" s="4">
        <v>239</v>
      </c>
      <c r="C90" t="s">
        <v>12</v>
      </c>
      <c r="D90" s="8" t="s">
        <v>579</v>
      </c>
      <c r="F90" s="42" t="s">
        <v>13</v>
      </c>
      <c r="G90" s="26"/>
      <c r="H90" s="26"/>
      <c r="I90" s="26"/>
      <c r="J90" s="26"/>
      <c r="K90" s="26"/>
      <c r="L90" s="51" t="s">
        <v>673</v>
      </c>
      <c r="M90" s="44">
        <f>IF(O90&gt;0,O90,DATE(YEAR+1,January,1+7*_3rd_weekday_occurrence)-WEEKDAY(DATE(YEAR+1,January,8-Thursday)))</f>
        <v>45673</v>
      </c>
      <c r="N90" s="41"/>
    </row>
    <row r="91" spans="2:14" ht="15" customHeight="1" x14ac:dyDescent="0.25">
      <c r="B91" s="4">
        <v>1118</v>
      </c>
      <c r="C91" t="s">
        <v>210</v>
      </c>
      <c r="D91" s="8" t="s">
        <v>579</v>
      </c>
      <c r="E91" s="8" t="s">
        <v>225</v>
      </c>
      <c r="F91" s="14" t="s">
        <v>490</v>
      </c>
      <c r="G91" s="26"/>
      <c r="H91" s="26"/>
      <c r="I91" s="26"/>
      <c r="J91" s="26"/>
      <c r="K91" s="26"/>
      <c r="L91" t="s">
        <v>709</v>
      </c>
      <c r="M91" s="55">
        <f>IF(O91&gt;0,O91,DATE(YEAR+1,January,1+7*_3rd_weekday_occurrence)-WEEKDAY(DATE(YEAR+1,January,8-Thursday)))</f>
        <v>45673</v>
      </c>
      <c r="N91" s="41"/>
    </row>
    <row r="92" spans="2:14" ht="15" customHeight="1" x14ac:dyDescent="0.25">
      <c r="B92" s="4">
        <v>399</v>
      </c>
      <c r="C92" t="s">
        <v>18</v>
      </c>
      <c r="D92" s="8" t="s">
        <v>579</v>
      </c>
      <c r="E92" s="8" t="s">
        <v>225</v>
      </c>
      <c r="F92" s="42" t="s">
        <v>19</v>
      </c>
      <c r="G92" s="26"/>
      <c r="H92" s="26"/>
      <c r="I92" s="26"/>
      <c r="J92" s="26"/>
      <c r="K92" s="26"/>
      <c r="L92" s="26" t="s">
        <v>672</v>
      </c>
      <c r="M92" s="55">
        <f>IF(O92&gt;0,O92,DATE(YEAR+1,January,1+7*_3rd_weekday_occurrence)-WEEKDAY(DATE(YEAR+1,January,8-Friday)))</f>
        <v>45674</v>
      </c>
      <c r="N92" s="41"/>
    </row>
    <row r="93" spans="2:14" ht="15" customHeight="1" x14ac:dyDescent="0.25">
      <c r="B93" s="4">
        <v>1748</v>
      </c>
      <c r="C93" t="s">
        <v>23</v>
      </c>
      <c r="D93" s="8" t="s">
        <v>579</v>
      </c>
      <c r="F93" s="42" t="s">
        <v>24</v>
      </c>
      <c r="G93" s="26"/>
      <c r="H93" s="26"/>
      <c r="I93" s="26"/>
      <c r="J93" s="26"/>
      <c r="K93" s="26"/>
      <c r="L93" s="42" t="s">
        <v>709</v>
      </c>
      <c r="M93" s="55">
        <f>IF(O93&gt;0,O93,DATE(YEAR+1,January,1+7*_3rd_weekday_occurrence)-WEEKDAY(DATE(YEAR+1,January,8-Tuesday)))</f>
        <v>45678</v>
      </c>
      <c r="N93" s="41"/>
    </row>
    <row r="94" spans="2:14" ht="15" customHeight="1" x14ac:dyDescent="0.25">
      <c r="B94" s="4">
        <v>569</v>
      </c>
      <c r="C94" t="s">
        <v>99</v>
      </c>
      <c r="D94" s="8" t="s">
        <v>579</v>
      </c>
      <c r="E94" s="8" t="s">
        <v>225</v>
      </c>
      <c r="F94" s="14" t="s">
        <v>467</v>
      </c>
      <c r="G94" s="26"/>
      <c r="H94" s="26"/>
      <c r="I94" s="26"/>
      <c r="J94" s="26"/>
      <c r="K94" s="26"/>
      <c r="L94" s="26" t="s">
        <v>672</v>
      </c>
      <c r="M94" s="55">
        <f>IF(O94&gt;0,O94,DATE(YEAR+1,January,1+7*_4th_weekday_occurrence)-WEEKDAY(DATE(YEAR+1,January,8-Thursday)))</f>
        <v>45680</v>
      </c>
      <c r="N94" s="41"/>
    </row>
    <row r="95" spans="2:14" ht="15" customHeight="1" x14ac:dyDescent="0.25">
      <c r="B95" s="4">
        <v>828</v>
      </c>
      <c r="C95" t="s">
        <v>111</v>
      </c>
      <c r="D95" s="8" t="s">
        <v>579</v>
      </c>
      <c r="F95" s="14" t="s">
        <v>467</v>
      </c>
      <c r="G95" s="26"/>
      <c r="H95" s="26"/>
      <c r="I95" s="26"/>
      <c r="J95" s="26"/>
      <c r="K95" s="26"/>
      <c r="L95" t="s">
        <v>709</v>
      </c>
      <c r="M95" s="55">
        <f>IF(O95&gt;0,O95,DATE(YEAR+1,January,1+7*_4th_weekday_occurrence)-WEEKDAY(DATE(YEAR+1,January,8-Thursday)))</f>
        <v>45680</v>
      </c>
      <c r="N95" s="41"/>
    </row>
    <row r="96" spans="2:14" ht="15" customHeight="1" x14ac:dyDescent="0.25">
      <c r="B96" s="4">
        <v>8</v>
      </c>
      <c r="C96" t="s">
        <v>180</v>
      </c>
      <c r="D96" s="8" t="s">
        <v>579</v>
      </c>
      <c r="F96" s="15" t="s">
        <v>29</v>
      </c>
      <c r="L96" t="s">
        <v>693</v>
      </c>
      <c r="M96" s="55">
        <f>IF(O96&gt;0,O96,DATE(YEAR+1,January,1+7*_4th_weekday_occurrence)-WEEKDAY(DATE(YEAR+1,January,8-Friday)))</f>
        <v>45681</v>
      </c>
      <c r="N96" s="41"/>
    </row>
    <row r="97" spans="2:14" ht="15" customHeight="1" x14ac:dyDescent="0.25">
      <c r="B97" s="4">
        <v>1363</v>
      </c>
      <c r="C97" t="s">
        <v>28</v>
      </c>
      <c r="D97" s="8" t="s">
        <v>579</v>
      </c>
      <c r="F97" s="42" t="s">
        <v>29</v>
      </c>
      <c r="G97" s="26"/>
      <c r="H97" s="26"/>
      <c r="I97" s="26"/>
      <c r="J97" s="26"/>
      <c r="K97" s="26"/>
      <c r="L97" s="5" t="s">
        <v>710</v>
      </c>
      <c r="M97" s="55">
        <f>IF(O97&gt;0,O97,DATE(YEAR+1,January,1+7*_4th_weekday_occurrence)-WEEKDAY(DATE(YEAR+1,January,8-Friday)))</f>
        <v>45681</v>
      </c>
      <c r="N97" s="41"/>
    </row>
    <row r="98" spans="2:14" ht="15" customHeight="1" x14ac:dyDescent="0.25">
      <c r="B98" s="4">
        <v>385</v>
      </c>
      <c r="C98" t="s">
        <v>33</v>
      </c>
      <c r="D98" s="8" t="s">
        <v>579</v>
      </c>
      <c r="F98" s="42" t="s">
        <v>34</v>
      </c>
      <c r="G98" s="26"/>
      <c r="H98" s="26"/>
      <c r="I98" s="26"/>
      <c r="J98" s="26"/>
      <c r="K98" s="26"/>
      <c r="L98" t="s">
        <v>708</v>
      </c>
      <c r="M98" s="55">
        <f>IF(O98&gt;0,O98,DATE(YEAR+1,January,1+7*_4th_weekday_occurrence)-WEEKDAY(DATE(YEAR+1,January,8-Tuesday)))</f>
        <v>45685</v>
      </c>
      <c r="N98" s="41"/>
    </row>
    <row r="99" spans="2:14" ht="15" customHeight="1" x14ac:dyDescent="0.25">
      <c r="B99" s="4">
        <v>742</v>
      </c>
      <c r="C99" t="s">
        <v>97</v>
      </c>
      <c r="D99" s="8" t="s">
        <v>579</v>
      </c>
      <c r="F99" s="14" t="s">
        <v>34</v>
      </c>
      <c r="G99" s="26"/>
      <c r="H99" s="26"/>
      <c r="I99" s="26"/>
      <c r="J99" s="26"/>
      <c r="K99" s="26"/>
      <c r="L99" s="5" t="s">
        <v>709</v>
      </c>
      <c r="M99" s="55">
        <f>IF(O99&gt;0,O99,DATE(YEAR+1,January,1+7*_4th_weekday_occurrence)-WEEKDAY(DATE(YEAR+1,January,8-Tuesday)))</f>
        <v>45685</v>
      </c>
      <c r="N99" s="41"/>
    </row>
    <row r="100" spans="2:14" ht="15" customHeight="1" x14ac:dyDescent="0.25">
      <c r="B100" s="4">
        <v>104</v>
      </c>
      <c r="C100" t="s">
        <v>195</v>
      </c>
      <c r="D100" s="8" t="s">
        <v>579</v>
      </c>
      <c r="F100" t="s">
        <v>533</v>
      </c>
      <c r="G100" s="5">
        <f>DATE(YEAR+1,January,1+7*_5th_weekday_occurrence)-WEEKDAY(DATE(YEAR+1,January,8-Monday))</f>
        <v>45691</v>
      </c>
      <c r="H100" s="5">
        <f>DATE(YEAR+1,January,1+7*_5th_weekday_occurrence)-WEEKDAY(DATE(YEAR+1,January,8-Tuesday))</f>
        <v>45692</v>
      </c>
      <c r="I100" s="5">
        <f>DATE(YEAR+1,January,1+7*_5th_weekday_occurrence)-WEEKDAY(DATE(YEAR+1,January,8-Wednesday))</f>
        <v>45686</v>
      </c>
      <c r="J100" s="5">
        <f>DATE(YEAR+1,January,1+7*_5th_weekday_occurrence)-WEEKDAY(DATE(YEAR+1,January,8-Thursday))</f>
        <v>45687</v>
      </c>
      <c r="K100" s="5">
        <f>DATE(YEAR+1,January,1+7*_5th_weekday_occurrence)-WEEKDAY(DATE(YEAR+1,January,8-Friday))</f>
        <v>45688</v>
      </c>
      <c r="L100" s="5" t="s">
        <v>710</v>
      </c>
      <c r="M100" s="55">
        <f>IF(O100&gt;0,O100,SMALL(G100:K100,COUNTIF(G100:K100,0)+1))</f>
        <v>45686</v>
      </c>
      <c r="N100" s="41"/>
    </row>
    <row r="101" spans="2:14" ht="15" customHeight="1" x14ac:dyDescent="0.25">
      <c r="B101" s="4">
        <v>176</v>
      </c>
      <c r="C101" t="s">
        <v>188</v>
      </c>
      <c r="D101" s="8" t="s">
        <v>579</v>
      </c>
      <c r="E101" s="8" t="s">
        <v>225</v>
      </c>
      <c r="F101" s="14" t="s">
        <v>445</v>
      </c>
      <c r="G101" s="26"/>
      <c r="H101" s="26"/>
      <c r="I101" s="26"/>
      <c r="J101" s="26"/>
      <c r="K101" s="26"/>
      <c r="L101" s="5" t="s">
        <v>709</v>
      </c>
      <c r="M101" s="44">
        <f>IF(O101&gt;0,O101,DATE(YEAR+1,February,1+7*_1st_weekday_occurrence)-WEEKDAY(DATE(YEAR+1,February,8-Saturday)))</f>
        <v>45689</v>
      </c>
      <c r="N101" s="41"/>
    </row>
    <row r="102" spans="2:14" ht="15" customHeight="1" x14ac:dyDescent="0.25">
      <c r="B102" s="4">
        <v>4</v>
      </c>
      <c r="C102" t="s">
        <v>123</v>
      </c>
      <c r="D102" s="8" t="s">
        <v>579</v>
      </c>
      <c r="E102" s="8" t="s">
        <v>225</v>
      </c>
      <c r="F102" s="14" t="s">
        <v>435</v>
      </c>
      <c r="L102" t="s">
        <v>708</v>
      </c>
      <c r="M102" s="55">
        <f>IF(O102&gt;0,O102,DATE(YEAR+1,February,1+7*_1st_weekday_occurrence)-WEEKDAY(DATE(YEAR+1,February,8-Monday)))</f>
        <v>45691</v>
      </c>
      <c r="N102" s="41"/>
    </row>
    <row r="103" spans="2:14" ht="15" customHeight="1" x14ac:dyDescent="0.25">
      <c r="B103" s="4">
        <v>1074</v>
      </c>
      <c r="C103" t="s">
        <v>109</v>
      </c>
      <c r="D103" s="8" t="s">
        <v>579</v>
      </c>
      <c r="E103" s="8" t="s">
        <v>225</v>
      </c>
      <c r="F103" s="15" t="s">
        <v>487</v>
      </c>
      <c r="G103" s="26"/>
      <c r="H103" s="26"/>
      <c r="I103" s="26"/>
      <c r="J103" s="26"/>
      <c r="K103" s="26"/>
      <c r="L103" t="s">
        <v>693</v>
      </c>
      <c r="M103" s="55">
        <f>IF(O103&gt;0,O103,DATE(YEAR+1,February,1+7*_1st_weekday_occurrence)-WEEKDAY(DATE(YEAR+1,February,8-Wednesday)))</f>
        <v>45693</v>
      </c>
      <c r="N103" s="41"/>
    </row>
    <row r="104" spans="2:14" ht="15" customHeight="1" x14ac:dyDescent="0.25">
      <c r="B104" s="4">
        <v>315</v>
      </c>
      <c r="C104" t="s">
        <v>197</v>
      </c>
      <c r="D104" s="8" t="s">
        <v>579</v>
      </c>
      <c r="E104" s="8" t="s">
        <v>225</v>
      </c>
      <c r="F104" s="14" t="s">
        <v>39</v>
      </c>
      <c r="G104" s="26"/>
      <c r="H104" s="26"/>
      <c r="I104" s="26"/>
      <c r="J104" s="26"/>
      <c r="K104" s="26"/>
      <c r="L104" s="5" t="s">
        <v>708</v>
      </c>
      <c r="M104" s="44">
        <f>IF(O104&gt;0,O104,DATE(YEAR+1,February,1+7*_1st_weekday_occurrence)-WEEKDAY(DATE(YEAR+1,February,8-Friday)))</f>
        <v>45695</v>
      </c>
      <c r="N104" s="41"/>
    </row>
    <row r="105" spans="2:14" ht="15" customHeight="1" x14ac:dyDescent="0.25">
      <c r="B105" s="4">
        <v>577</v>
      </c>
      <c r="C105" t="s">
        <v>38</v>
      </c>
      <c r="D105" s="8" t="s">
        <v>579</v>
      </c>
      <c r="F105" s="42" t="s">
        <v>39</v>
      </c>
      <c r="G105" s="26"/>
      <c r="H105" s="26"/>
      <c r="I105" s="26"/>
      <c r="J105" s="26"/>
      <c r="K105" s="26"/>
      <c r="L105" s="5" t="s">
        <v>709</v>
      </c>
      <c r="M105" s="55">
        <f>IF(O105&gt;0,O105,DATE(YEAR+1,February,1+7*_1st_weekday_occurrence)-WEEKDAY(DATE(YEAR+1,February,8-Friday)))</f>
        <v>45695</v>
      </c>
      <c r="N105" s="41"/>
    </row>
    <row r="106" spans="2:14" ht="15" customHeight="1" x14ac:dyDescent="0.25">
      <c r="B106" s="4">
        <v>616</v>
      </c>
      <c r="C106" t="s">
        <v>42</v>
      </c>
      <c r="D106" s="8" t="s">
        <v>579</v>
      </c>
      <c r="F106" s="42" t="s">
        <v>43</v>
      </c>
      <c r="G106" s="26"/>
      <c r="H106" s="26"/>
      <c r="I106" s="26"/>
      <c r="J106" s="26"/>
      <c r="K106" s="26"/>
      <c r="L106" s="51" t="s">
        <v>673</v>
      </c>
      <c r="M106" s="55">
        <f>IF(O106&gt;0,O106,DATE(YEAR+1,February,1+7*_2nd_weekday_occurrence)-WEEKDAY(DATE(YEAR+1,February,8-Saturday)))</f>
        <v>45696</v>
      </c>
      <c r="N106" s="41"/>
    </row>
    <row r="107" spans="2:14" ht="15" customHeight="1" x14ac:dyDescent="0.25">
      <c r="B107" s="4">
        <v>1997</v>
      </c>
      <c r="C107" t="s">
        <v>676</v>
      </c>
      <c r="D107" s="8" t="s">
        <v>579</v>
      </c>
      <c r="E107" s="8" t="s">
        <v>225</v>
      </c>
      <c r="F107" s="54" t="s">
        <v>43</v>
      </c>
      <c r="L107" s="51" t="s">
        <v>708</v>
      </c>
      <c r="M107" s="55">
        <f>IF(O107&gt;0,O107,DATE(YEAR+1,February,1+7*_2nd_weekday_occurrence)-WEEKDAY(DATE(YEAR+1,February,8-Saturday)))</f>
        <v>45696</v>
      </c>
    </row>
    <row r="108" spans="2:14" ht="15" customHeight="1" x14ac:dyDescent="0.25">
      <c r="B108" s="4">
        <v>489</v>
      </c>
      <c r="C108" t="s">
        <v>202</v>
      </c>
      <c r="D108" s="8" t="s">
        <v>579</v>
      </c>
      <c r="E108" s="8" t="s">
        <v>225</v>
      </c>
      <c r="F108" s="15" t="s">
        <v>465</v>
      </c>
      <c r="G108" s="26"/>
      <c r="H108" s="26"/>
      <c r="I108" s="26"/>
      <c r="J108" s="26"/>
      <c r="K108" s="26"/>
      <c r="L108" t="s">
        <v>708</v>
      </c>
      <c r="M108" s="55">
        <f>IF(O108&gt;0,O108,DATE(YEAR+1,February,1+7*_2nd_weekday_occurrence)-WEEKDAY(DATE(YEAR+1,February,8-Tuesday)))</f>
        <v>45699</v>
      </c>
      <c r="N108" s="41"/>
    </row>
    <row r="109" spans="2:14" ht="15" customHeight="1" x14ac:dyDescent="0.25">
      <c r="B109" s="4">
        <v>791</v>
      </c>
      <c r="C109" t="s">
        <v>129</v>
      </c>
      <c r="D109" s="8" t="s">
        <v>579</v>
      </c>
      <c r="E109" s="8" t="s">
        <v>225</v>
      </c>
      <c r="F109" s="15" t="s">
        <v>50</v>
      </c>
      <c r="G109" s="26"/>
      <c r="H109" s="26"/>
      <c r="I109" s="26"/>
      <c r="J109" s="26"/>
      <c r="K109" s="26"/>
      <c r="L109" t="s">
        <v>709</v>
      </c>
      <c r="M109" s="44">
        <f>IF(O109&gt;0,O109,DATE(YEAR+1,February,1+7*_2nd_weekday_occurrence)-WEEKDAY(DATE(YEAR+1,February,8-Wednesday)))</f>
        <v>45700</v>
      </c>
      <c r="N109" s="41"/>
    </row>
    <row r="110" spans="2:14" ht="15" customHeight="1" x14ac:dyDescent="0.25">
      <c r="B110" s="4">
        <v>2013</v>
      </c>
      <c r="C110" t="s">
        <v>196</v>
      </c>
      <c r="D110" s="8" t="s">
        <v>579</v>
      </c>
      <c r="E110" s="8" t="s">
        <v>225</v>
      </c>
      <c r="F110" t="s">
        <v>50</v>
      </c>
      <c r="L110" s="51" t="s">
        <v>673</v>
      </c>
      <c r="M110" s="44">
        <f>IF(O110&gt;0,O110,DATE(YEAR+1,February,1+7*_2nd_weekday_occurrence)-WEEKDAY(DATE(YEAR+1,February,8-Wednesday)))</f>
        <v>45700</v>
      </c>
    </row>
    <row r="111" spans="2:14" ht="15" customHeight="1" x14ac:dyDescent="0.25">
      <c r="B111" s="4">
        <v>107</v>
      </c>
      <c r="C111" t="s">
        <v>581</v>
      </c>
      <c r="D111" s="8" t="s">
        <v>579</v>
      </c>
      <c r="F111" s="42" t="s">
        <v>53</v>
      </c>
      <c r="G111" s="26"/>
      <c r="H111" s="26"/>
      <c r="I111" s="26"/>
      <c r="J111" s="26"/>
      <c r="K111" s="26"/>
      <c r="L111" t="s">
        <v>708</v>
      </c>
      <c r="M111" s="44">
        <f>IF(O111&gt;0,O111,DATE(YEAR+1,February,1+7*_2nd_weekday_occurrence)-WEEKDAY(DATE(YEAR+1,February,8-Thursday)))</f>
        <v>45701</v>
      </c>
      <c r="N111" s="41"/>
    </row>
    <row r="112" spans="2:14" ht="15" customHeight="1" x14ac:dyDescent="0.25">
      <c r="B112" s="4">
        <v>1389</v>
      </c>
      <c r="C112" t="s">
        <v>218</v>
      </c>
      <c r="D112" s="8" t="s">
        <v>579</v>
      </c>
      <c r="E112" s="8" t="s">
        <v>225</v>
      </c>
      <c r="F112" s="14" t="s">
        <v>499</v>
      </c>
      <c r="G112" s="26"/>
      <c r="H112" s="26"/>
      <c r="I112" s="26"/>
      <c r="J112" s="26"/>
      <c r="K112" s="26"/>
      <c r="L112" s="42" t="s">
        <v>709</v>
      </c>
      <c r="M112" s="55">
        <f>IF(O112&gt;0,O112,DATE(YEAR+1,February,1+7*_2nd_weekday_occurrence)-WEEKDAY(DATE(YEAR+1,February,8-Thursday)))</f>
        <v>45701</v>
      </c>
      <c r="N112" s="41"/>
    </row>
    <row r="113" spans="2:14" ht="15" customHeight="1" x14ac:dyDescent="0.25">
      <c r="B113" s="4">
        <v>1091</v>
      </c>
      <c r="C113" t="s">
        <v>55</v>
      </c>
      <c r="D113" s="8" t="s">
        <v>579</v>
      </c>
      <c r="F113" s="42" t="s">
        <v>56</v>
      </c>
      <c r="G113" s="26"/>
      <c r="H113" s="26"/>
      <c r="I113" s="26"/>
      <c r="J113" s="26"/>
      <c r="K113" s="26"/>
      <c r="L113" s="42" t="s">
        <v>710</v>
      </c>
      <c r="M113" s="55">
        <f>IF(O113&gt;0,O113,DATE(YEAR+1,February,1+7*_2nd_weekday_occurrence)-WEEKDAY(DATE(YEAR+1,February,8-Friday)))</f>
        <v>45702</v>
      </c>
      <c r="N113" s="41"/>
    </row>
    <row r="114" spans="2:14" ht="15" customHeight="1" x14ac:dyDescent="0.25">
      <c r="B114" s="4">
        <v>1984</v>
      </c>
      <c r="C114" t="s">
        <v>199</v>
      </c>
      <c r="D114" s="8" t="s">
        <v>579</v>
      </c>
      <c r="E114" s="8" t="s">
        <v>225</v>
      </c>
      <c r="F114" s="14" t="s">
        <v>59</v>
      </c>
      <c r="G114" s="26"/>
      <c r="H114" s="26"/>
      <c r="I114" s="26"/>
      <c r="J114" s="26"/>
      <c r="K114" s="26"/>
      <c r="L114" s="51" t="s">
        <v>673</v>
      </c>
      <c r="M114" s="55">
        <f>IF(O114&gt;0,O114,DATE(YEAR+1,February,1+7*_3rd_weekday_occurrence)-WEEKDAY(DATE(YEAR+1,February,8-Saturday)))</f>
        <v>45703</v>
      </c>
      <c r="N114" s="43"/>
    </row>
    <row r="115" spans="2:14" ht="15" customHeight="1" x14ac:dyDescent="0.25">
      <c r="B115" s="4">
        <v>406</v>
      </c>
      <c r="C115" t="s">
        <v>61</v>
      </c>
      <c r="D115" s="8" t="s">
        <v>579</v>
      </c>
      <c r="F115" s="42" t="s">
        <v>62</v>
      </c>
      <c r="G115" s="26"/>
      <c r="H115" s="26"/>
      <c r="I115" s="26"/>
      <c r="J115" s="26"/>
      <c r="K115" s="26"/>
      <c r="L115" s="26" t="s">
        <v>672</v>
      </c>
      <c r="M115" s="55">
        <f>IF(O115&gt;0,O115,DATE(YEAR+1,February,1+7*_3rd_weekday_occurrence)-WEEKDAY(DATE(YEAR+1,February,8-Monday)))</f>
        <v>45705</v>
      </c>
      <c r="N115" s="41"/>
    </row>
    <row r="116" spans="2:14" ht="15" customHeight="1" x14ac:dyDescent="0.25">
      <c r="B116" s="4">
        <v>932</v>
      </c>
      <c r="C116" t="s">
        <v>63</v>
      </c>
      <c r="D116" s="8" t="s">
        <v>579</v>
      </c>
      <c r="F116" s="42" t="s">
        <v>62</v>
      </c>
      <c r="G116" s="26"/>
      <c r="H116" s="26"/>
      <c r="I116" s="26"/>
      <c r="J116" s="26"/>
      <c r="K116" s="26"/>
      <c r="L116" t="s">
        <v>709</v>
      </c>
      <c r="M116" s="55">
        <f>IF(O116&gt;0,O116,DATE(YEAR+1,February,1+7*_3rd_weekday_occurrence)-WEEKDAY(DATE(YEAR+1,February,8-Monday)))</f>
        <v>45705</v>
      </c>
      <c r="N116" s="41"/>
    </row>
    <row r="117" spans="2:14" ht="15" customHeight="1" x14ac:dyDescent="0.25">
      <c r="B117" s="4">
        <v>1</v>
      </c>
      <c r="C117" t="s">
        <v>578</v>
      </c>
      <c r="D117" s="8" t="s">
        <v>579</v>
      </c>
      <c r="F117" s="42" t="s">
        <v>65</v>
      </c>
      <c r="G117" s="42"/>
      <c r="H117" s="42"/>
      <c r="I117" s="42"/>
      <c r="J117" s="42"/>
      <c r="K117" s="42"/>
      <c r="L117" s="42" t="s">
        <v>709</v>
      </c>
      <c r="M117" s="55">
        <f>IF(O117&gt;0,O117,DATE(YEAR+1,February,1+7*_3rd_weekday_occurrence)-WEEKDAY(DATE(YEAR+1,February,8-Tuesday)))</f>
        <v>45706</v>
      </c>
      <c r="N117" s="41"/>
    </row>
    <row r="118" spans="2:14" ht="15" customHeight="1" x14ac:dyDescent="0.25">
      <c r="B118" s="4">
        <v>748</v>
      </c>
      <c r="C118" t="s">
        <v>153</v>
      </c>
      <c r="D118" s="8" t="s">
        <v>579</v>
      </c>
      <c r="E118" s="8" t="s">
        <v>225</v>
      </c>
      <c r="F118" s="14" t="s">
        <v>667</v>
      </c>
      <c r="G118" s="26"/>
      <c r="H118" s="26"/>
      <c r="I118" s="26"/>
      <c r="J118" s="26"/>
      <c r="K118" s="26"/>
      <c r="L118" s="42" t="s">
        <v>673</v>
      </c>
      <c r="M118" s="55">
        <f>IF(O118&gt;0,O118,DATE(YEAR+1,February,1+7*_3rd_weekday_occurrence)-WEEKDAY(DATE(YEAR+1,February,8-Tuesday)))</f>
        <v>45706</v>
      </c>
      <c r="N118" s="41"/>
    </row>
    <row r="119" spans="2:14" ht="15" customHeight="1" x14ac:dyDescent="0.25">
      <c r="B119" s="4">
        <v>856</v>
      </c>
      <c r="C119" t="s">
        <v>66</v>
      </c>
      <c r="D119" s="8" t="s">
        <v>579</v>
      </c>
      <c r="F119" s="42" t="s">
        <v>67</v>
      </c>
      <c r="G119" s="26"/>
      <c r="H119" s="26"/>
      <c r="I119" s="26"/>
      <c r="J119" s="26"/>
      <c r="K119" s="26"/>
      <c r="L119" t="s">
        <v>693</v>
      </c>
      <c r="M119" s="55">
        <f>IF(O119&gt;0,O119,DATE(YEAR+1,February,1+7*_3rd_weekday_occurrence)-WEEKDAY(DATE(YEAR+1,February,8-Wednesday)))</f>
        <v>45707</v>
      </c>
      <c r="N119" s="41"/>
    </row>
    <row r="120" spans="2:14" ht="15" customHeight="1" x14ac:dyDescent="0.25">
      <c r="B120" s="4">
        <v>7</v>
      </c>
      <c r="C120" t="s">
        <v>42</v>
      </c>
      <c r="D120" s="8" t="s">
        <v>579</v>
      </c>
      <c r="F120" s="42" t="s">
        <v>68</v>
      </c>
      <c r="G120" s="42"/>
      <c r="H120" s="42"/>
      <c r="I120" s="42"/>
      <c r="J120" s="42"/>
      <c r="K120" s="42"/>
      <c r="L120" t="s">
        <v>710</v>
      </c>
      <c r="M120" s="55">
        <f>IF(O120&gt;0,O120,DATE(YEAR+1,February,1+7*_3rd_weekday_occurrence)-WEEKDAY(DATE(YEAR+1,February,8-Thursday)))</f>
        <v>45708</v>
      </c>
      <c r="N120" s="41"/>
    </row>
    <row r="121" spans="2:14" ht="15" customHeight="1" x14ac:dyDescent="0.25">
      <c r="B121" s="4">
        <v>411</v>
      </c>
      <c r="C121" t="s">
        <v>69</v>
      </c>
      <c r="D121" s="8" t="s">
        <v>579</v>
      </c>
      <c r="F121" s="42" t="s">
        <v>68</v>
      </c>
      <c r="G121" s="26"/>
      <c r="H121" s="26"/>
      <c r="I121" s="26"/>
      <c r="J121" s="26"/>
      <c r="K121" s="26"/>
      <c r="L121" s="42" t="s">
        <v>709</v>
      </c>
      <c r="M121" s="55">
        <f>IF(O121&gt;0,O121,DATE(YEAR+1,February,1+7*_3rd_weekday_occurrence)-WEEKDAY(DATE(YEAR+1,February,8-Thursday)))</f>
        <v>45708</v>
      </c>
      <c r="N121" s="41"/>
    </row>
    <row r="122" spans="2:14" ht="15" customHeight="1" x14ac:dyDescent="0.25">
      <c r="B122" s="4" t="s">
        <v>181</v>
      </c>
      <c r="C122" t="s">
        <v>182</v>
      </c>
      <c r="D122" s="8" t="s">
        <v>579</v>
      </c>
      <c r="E122" s="8" t="s">
        <v>225</v>
      </c>
      <c r="F122" s="15" t="s">
        <v>522</v>
      </c>
      <c r="G122" s="26"/>
      <c r="H122" s="26"/>
      <c r="I122" s="26"/>
      <c r="J122" s="26"/>
      <c r="K122" s="26"/>
      <c r="L122" s="26" t="s">
        <v>672</v>
      </c>
      <c r="M122" s="44">
        <f>IF(O117&gt;0,O117,DATE(YEAR+1,February,1+7*_3rd_weekday_occurrence)-WEEKDAY(DATE(YEAR+1,February,8-Thursday)))</f>
        <v>45708</v>
      </c>
    </row>
    <row r="123" spans="2:14" ht="15" customHeight="1" x14ac:dyDescent="0.25">
      <c r="B123" s="4">
        <v>1889</v>
      </c>
      <c r="C123" t="s">
        <v>186</v>
      </c>
      <c r="D123" s="8" t="s">
        <v>579</v>
      </c>
      <c r="F123" s="14" t="s">
        <v>509</v>
      </c>
      <c r="G123" s="26"/>
      <c r="H123" s="26"/>
      <c r="I123" s="26"/>
      <c r="J123" s="26"/>
      <c r="K123" s="26"/>
      <c r="L123" s="5" t="s">
        <v>672</v>
      </c>
      <c r="M123" s="55">
        <f>IF(O123&gt;0,O123,DATE(YEAR+1,February,1+7*_3rd_weekday_occurrence)-WEEKDAY(DATE(YEAR+1,February,8-Friday)))</f>
        <v>45709</v>
      </c>
      <c r="N123" s="41"/>
    </row>
    <row r="124" spans="2:14" ht="15" customHeight="1" x14ac:dyDescent="0.25">
      <c r="B124" s="4">
        <v>22</v>
      </c>
      <c r="C124" t="s">
        <v>70</v>
      </c>
      <c r="D124" s="8" t="s">
        <v>579</v>
      </c>
      <c r="F124" s="42" t="s">
        <v>71</v>
      </c>
      <c r="G124" s="26"/>
      <c r="H124" s="26"/>
      <c r="I124" s="26"/>
      <c r="J124" s="26"/>
      <c r="K124" s="26"/>
      <c r="L124" s="51" t="s">
        <v>708</v>
      </c>
      <c r="M124" s="55">
        <f>IF(O124&gt;0,O124,DATE(YEAR+1,February,1+7*_4th_weekday_occurrence)-WEEKDAY(DATE(YEAR+1,February,8-Monday)))</f>
        <v>45712</v>
      </c>
      <c r="N124" s="41"/>
    </row>
    <row r="125" spans="2:14" ht="15" customHeight="1" x14ac:dyDescent="0.25">
      <c r="B125" s="4">
        <v>1227</v>
      </c>
      <c r="C125" t="s">
        <v>588</v>
      </c>
      <c r="D125" s="8" t="s">
        <v>579</v>
      </c>
      <c r="E125" s="8" t="s">
        <v>225</v>
      </c>
      <c r="F125" t="s">
        <v>71</v>
      </c>
      <c r="L125" s="26" t="s">
        <v>672</v>
      </c>
      <c r="M125" s="55">
        <f>IF(O125&gt;0,O125,DATE(YEAR+1,February,1+7*_4th_weekday_occurrence)-WEEKDAY(DATE(YEAR+1,February,8-Monday)))</f>
        <v>45712</v>
      </c>
      <c r="N125" s="41"/>
    </row>
    <row r="126" spans="2:14" ht="15" customHeight="1" x14ac:dyDescent="0.25">
      <c r="B126" s="4">
        <v>234</v>
      </c>
      <c r="C126" t="s">
        <v>104</v>
      </c>
      <c r="D126" s="8" t="s">
        <v>579</v>
      </c>
      <c r="F126" s="15" t="s">
        <v>449</v>
      </c>
      <c r="G126" s="26"/>
      <c r="H126" s="26"/>
      <c r="I126" s="26"/>
      <c r="J126" s="26"/>
      <c r="K126" s="26"/>
      <c r="L126" s="26" t="s">
        <v>672</v>
      </c>
      <c r="M126" s="44">
        <f>IF(O126&gt;0,O126,DATE(YEAR+1,February,1+7*_4th_weekday_occurrence)-WEEKDAY(DATE(YEAR+1,February,8-Tuesday)))</f>
        <v>45713</v>
      </c>
      <c r="N126" s="41"/>
    </row>
    <row r="127" spans="2:14" ht="15" customHeight="1" x14ac:dyDescent="0.25">
      <c r="B127" s="4">
        <v>996</v>
      </c>
      <c r="C127" t="s">
        <v>192</v>
      </c>
      <c r="D127" s="8" t="s">
        <v>579</v>
      </c>
      <c r="F127" s="15" t="s">
        <v>449</v>
      </c>
      <c r="G127" s="26"/>
      <c r="H127" s="26"/>
      <c r="I127" s="26"/>
      <c r="J127" s="26"/>
      <c r="K127" s="26"/>
      <c r="L127" t="s">
        <v>708</v>
      </c>
      <c r="M127" s="55">
        <f>IF(O127&gt;0,O127,DATE(YEAR+1,February,1+7*_4th_weekday_occurrence)-WEEKDAY(DATE(YEAR+1,February,8-Tuesday)))</f>
        <v>45713</v>
      </c>
      <c r="N127" s="41"/>
    </row>
    <row r="128" spans="2:14" ht="15" customHeight="1" x14ac:dyDescent="0.25">
      <c r="B128" s="4" t="s">
        <v>138</v>
      </c>
      <c r="C128" t="s">
        <v>139</v>
      </c>
      <c r="D128" s="8" t="s">
        <v>579</v>
      </c>
      <c r="F128" s="15" t="s">
        <v>449</v>
      </c>
      <c r="L128" s="51" t="s">
        <v>673</v>
      </c>
      <c r="M128" s="55">
        <f>IF(O125&gt;0,O125,DATE(YEAR+1,February,1+7*_4th_weekday_occurrence)-WEEKDAY(DATE(YEAR+1,February,8-Tuesday)))</f>
        <v>45713</v>
      </c>
    </row>
    <row r="129" spans="2:14" ht="15" customHeight="1" x14ac:dyDescent="0.25">
      <c r="B129" s="4">
        <v>139</v>
      </c>
      <c r="C129" t="s">
        <v>206</v>
      </c>
      <c r="D129" s="8" t="s">
        <v>579</v>
      </c>
      <c r="E129" s="8" t="s">
        <v>225</v>
      </c>
      <c r="F129" s="15" t="s">
        <v>454</v>
      </c>
      <c r="G129" s="26"/>
      <c r="H129" s="26"/>
      <c r="I129" s="26"/>
      <c r="J129" s="26"/>
      <c r="K129" s="26"/>
      <c r="L129" s="42" t="s">
        <v>710</v>
      </c>
      <c r="M129" s="44">
        <f>IF(O129&gt;0,O129,DATE(YEAR+1,February,1+7*_4th_weekday_occurrence)-WEEKDAY(DATE(YEAR+1,February,8-Wednesday)))</f>
        <v>45714</v>
      </c>
      <c r="N129" s="41"/>
    </row>
    <row r="130" spans="2:14" ht="15" customHeight="1" x14ac:dyDescent="0.25">
      <c r="B130" s="4">
        <v>786</v>
      </c>
      <c r="C130" t="s">
        <v>142</v>
      </c>
      <c r="D130" s="8" t="s">
        <v>579</v>
      </c>
      <c r="F130" s="14" t="s">
        <v>454</v>
      </c>
      <c r="G130" s="26"/>
      <c r="H130" s="26"/>
      <c r="I130" s="26"/>
      <c r="J130" s="26"/>
      <c r="K130" s="26"/>
      <c r="L130" t="s">
        <v>693</v>
      </c>
      <c r="M130" s="55">
        <f>IF(O130&gt;0,O130,DATE(YEAR+1,February,1+7*_4th_weekday_occurrence)-WEEKDAY(DATE(YEAR+1,February,8-Wednesday)))</f>
        <v>45714</v>
      </c>
      <c r="N130" s="41"/>
    </row>
    <row r="131" spans="2:14" ht="15" customHeight="1" x14ac:dyDescent="0.25">
      <c r="B131" s="4">
        <v>458</v>
      </c>
      <c r="C131" t="s">
        <v>72</v>
      </c>
      <c r="D131" s="8" t="s">
        <v>579</v>
      </c>
      <c r="E131" s="8" t="s">
        <v>225</v>
      </c>
      <c r="F131" s="42" t="s">
        <v>73</v>
      </c>
      <c r="G131" s="26"/>
      <c r="H131" s="26"/>
      <c r="I131" s="26"/>
      <c r="J131" s="26"/>
      <c r="K131" s="26"/>
      <c r="L131" s="5" t="s">
        <v>673</v>
      </c>
      <c r="M131" s="55">
        <f>IF(O131&gt;0,O131,DATE(YEAR+1,March,1+7*_1st_weekday_occurrence)-WEEKDAY(DATE(YEAR+1,March,8-Monday)))</f>
        <v>45719</v>
      </c>
      <c r="N131" s="41"/>
    </row>
    <row r="132" spans="2:14" ht="15" customHeight="1" x14ac:dyDescent="0.25">
      <c r="B132" s="4">
        <v>1124</v>
      </c>
      <c r="C132" t="s">
        <v>74</v>
      </c>
      <c r="D132" s="8" t="s">
        <v>579</v>
      </c>
      <c r="F132" s="42" t="s">
        <v>73</v>
      </c>
      <c r="G132" s="26"/>
      <c r="H132" s="26"/>
      <c r="I132" s="26"/>
      <c r="J132" s="26"/>
      <c r="K132" s="26"/>
      <c r="L132" s="5" t="s">
        <v>710</v>
      </c>
      <c r="M132" s="55">
        <f>IF(O132&gt;0,O132,DATE(YEAR+1,March,1+7*_1st_weekday_occurrence)-WEEKDAY(DATE(YEAR+1,March,8-Monday)))</f>
        <v>45719</v>
      </c>
      <c r="N132" s="41"/>
    </row>
    <row r="133" spans="2:14" ht="15" customHeight="1" x14ac:dyDescent="0.25">
      <c r="B133" s="4">
        <v>1638</v>
      </c>
      <c r="C133" t="s">
        <v>75</v>
      </c>
      <c r="D133" s="8" t="s">
        <v>579</v>
      </c>
      <c r="F133" s="42" t="s">
        <v>73</v>
      </c>
      <c r="G133" s="26"/>
      <c r="H133" s="26"/>
      <c r="I133" s="26"/>
      <c r="J133" s="26"/>
      <c r="K133" s="26"/>
      <c r="L133" t="s">
        <v>672</v>
      </c>
      <c r="M133" s="55">
        <f>IF(O133&gt;0,O133,DATE(YEAR+1,March,1+7*_1st_weekday_occurrence)-WEEKDAY(DATE(YEAR+1,March,8-Monday)))</f>
        <v>45719</v>
      </c>
      <c r="N133" s="41"/>
    </row>
    <row r="134" spans="2:14" ht="15" customHeight="1" x14ac:dyDescent="0.25">
      <c r="B134" s="4">
        <v>652</v>
      </c>
      <c r="C134" t="s">
        <v>587</v>
      </c>
      <c r="D134" s="8" t="s">
        <v>579</v>
      </c>
      <c r="F134" s="15" t="s">
        <v>77</v>
      </c>
      <c r="G134" s="26"/>
      <c r="H134" s="26"/>
      <c r="I134" s="26"/>
      <c r="J134" s="26"/>
      <c r="K134" s="26"/>
      <c r="L134" s="42" t="s">
        <v>709</v>
      </c>
      <c r="M134" s="55">
        <f>IF(O134&gt;0,O134,DATE(YEAR+1,March,1+7*_1st_weekday_occurrence)-WEEKDAY(DATE(YEAR+1,March,8-Tuesday)))</f>
        <v>45720</v>
      </c>
      <c r="N134" s="41"/>
    </row>
    <row r="135" spans="2:14" ht="15" customHeight="1" x14ac:dyDescent="0.25">
      <c r="B135" s="4">
        <v>976</v>
      </c>
      <c r="C135" t="s">
        <v>76</v>
      </c>
      <c r="D135" s="8" t="s">
        <v>579</v>
      </c>
      <c r="F135" s="42" t="s">
        <v>77</v>
      </c>
      <c r="G135" s="26"/>
      <c r="H135" s="26"/>
      <c r="I135" s="26"/>
      <c r="J135" s="26"/>
      <c r="K135" s="26"/>
      <c r="L135" s="5" t="s">
        <v>693</v>
      </c>
      <c r="M135" s="55">
        <f>IF(O135&gt;0,O135,DATE(YEAR+1,March,1+7*_1st_weekday_occurrence)-WEEKDAY(DATE(YEAR+1,March,8-Tuesday)))</f>
        <v>45720</v>
      </c>
      <c r="N135" s="41"/>
    </row>
    <row r="136" spans="2:14" ht="15" customHeight="1" x14ac:dyDescent="0.25">
      <c r="B136" s="4">
        <v>224</v>
      </c>
      <c r="C136" t="s">
        <v>49</v>
      </c>
      <c r="D136" s="8" t="s">
        <v>579</v>
      </c>
      <c r="F136" s="42" t="s">
        <v>79</v>
      </c>
      <c r="G136" s="26"/>
      <c r="H136" s="26"/>
      <c r="I136" s="26"/>
      <c r="J136" s="26"/>
      <c r="K136" s="26"/>
      <c r="L136" t="s">
        <v>693</v>
      </c>
      <c r="M136" s="44">
        <f>IF(O136&gt;0,O136,DATE(YEAR+1,March,1+7*_1st_weekday_occurrence)-WEEKDAY(DATE(YEAR+1,March,8-Thursday)))</f>
        <v>45722</v>
      </c>
      <c r="N136" s="41"/>
    </row>
    <row r="137" spans="2:14" ht="15" customHeight="1" x14ac:dyDescent="0.25">
      <c r="B137" s="4">
        <v>1856</v>
      </c>
      <c r="C137" t="s">
        <v>204</v>
      </c>
      <c r="D137" s="8" t="s">
        <v>579</v>
      </c>
      <c r="E137" s="8" t="s">
        <v>225</v>
      </c>
      <c r="F137" s="15" t="s">
        <v>81</v>
      </c>
      <c r="G137" s="26"/>
      <c r="H137" s="26"/>
      <c r="I137" s="26"/>
      <c r="J137" s="26"/>
      <c r="K137" s="26"/>
      <c r="L137" t="s">
        <v>708</v>
      </c>
      <c r="M137" s="55">
        <f>IF(O137&gt;0,O137,DATE(YEAR+1,March,1+7*_2nd_weekday_occurrence)-WEEKDAY(DATE(YEAR+1,March,8-Monday)))</f>
        <v>45726</v>
      </c>
      <c r="N137" s="41"/>
    </row>
    <row r="138" spans="2:14" ht="15" customHeight="1" x14ac:dyDescent="0.25">
      <c r="B138" s="4">
        <v>1152</v>
      </c>
      <c r="C138" t="s">
        <v>155</v>
      </c>
      <c r="D138" s="8" t="s">
        <v>579</v>
      </c>
      <c r="E138" s="8" t="s">
        <v>225</v>
      </c>
      <c r="F138" s="15" t="s">
        <v>83</v>
      </c>
      <c r="G138" s="26"/>
      <c r="H138" s="26"/>
      <c r="I138" s="26"/>
      <c r="J138" s="26"/>
      <c r="K138" s="26"/>
      <c r="L138" s="5" t="s">
        <v>672</v>
      </c>
      <c r="M138" s="55">
        <f>IF(O138&gt;0,O138,DATE(YEAR+1,March,1+7*_2nd_weekday_occurrence)-WEEKDAY(DATE(YEAR+1,March,8-Wednesday)))</f>
        <v>45728</v>
      </c>
      <c r="N138" s="41"/>
    </row>
    <row r="139" spans="2:14" ht="15" customHeight="1" x14ac:dyDescent="0.25">
      <c r="B139" s="4">
        <v>363</v>
      </c>
      <c r="C139" t="s">
        <v>133</v>
      </c>
      <c r="D139" s="8" t="s">
        <v>579</v>
      </c>
      <c r="F139" t="s">
        <v>457</v>
      </c>
      <c r="L139" s="26" t="s">
        <v>672</v>
      </c>
      <c r="M139" s="44">
        <f>IF(O139&gt;0,O139,DATE(YEAR+1,March,1+1+7*_2nd_weekday_occurrence)-WEEKDAY(DATE(YEAR+1,March,8-Wednesday)))</f>
        <v>45729</v>
      </c>
      <c r="N139" s="41"/>
    </row>
    <row r="140" spans="2:14" ht="15" customHeight="1" x14ac:dyDescent="0.25">
      <c r="B140" s="4">
        <v>1228</v>
      </c>
      <c r="C140" t="s">
        <v>84</v>
      </c>
      <c r="D140" s="8" t="s">
        <v>579</v>
      </c>
      <c r="F140" s="42" t="s">
        <v>85</v>
      </c>
      <c r="G140" s="26"/>
      <c r="H140" s="26"/>
      <c r="I140" s="26"/>
      <c r="J140" s="26"/>
      <c r="K140" s="26"/>
      <c r="L140" t="s">
        <v>710</v>
      </c>
      <c r="M140" s="55">
        <f>IF(O140&gt;0,O140,DATE(YEAR+1,March,1+7*_2nd_weekday_occurrence)-WEEKDAY(DATE(YEAR+1,March,8-Thursday)))</f>
        <v>45729</v>
      </c>
      <c r="N140" s="41"/>
    </row>
    <row r="141" spans="2:14" ht="15" customHeight="1" x14ac:dyDescent="0.25">
      <c r="B141" s="4">
        <v>728</v>
      </c>
      <c r="C141" t="s">
        <v>86</v>
      </c>
      <c r="D141" s="8" t="s">
        <v>579</v>
      </c>
      <c r="F141" s="42" t="s">
        <v>87</v>
      </c>
      <c r="G141" s="26"/>
      <c r="H141" s="26"/>
      <c r="I141" s="26"/>
      <c r="J141" s="26"/>
      <c r="K141" s="26"/>
      <c r="L141" t="s">
        <v>708</v>
      </c>
      <c r="M141" s="55">
        <f>IF(O141&gt;0,O141,DATE(YEAR+1,March,1+7*_2nd_weekday_occurrence)-WEEKDAY(DATE(YEAR+1,March,8-Friday)))</f>
        <v>45730</v>
      </c>
      <c r="N141" s="41"/>
    </row>
    <row r="142" spans="2:14" ht="15" customHeight="1" x14ac:dyDescent="0.25">
      <c r="B142" s="4">
        <v>997</v>
      </c>
      <c r="C142" t="s">
        <v>88</v>
      </c>
      <c r="D142" s="8" t="s">
        <v>579</v>
      </c>
      <c r="E142" s="8" t="s">
        <v>225</v>
      </c>
      <c r="F142" s="42" t="s">
        <v>87</v>
      </c>
      <c r="G142" s="26"/>
      <c r="H142" s="26"/>
      <c r="I142" s="26"/>
      <c r="J142" s="26"/>
      <c r="K142" s="26"/>
      <c r="L142" t="s">
        <v>710</v>
      </c>
      <c r="M142" s="55">
        <f>IF(O142&gt;0,O142,DATE(YEAR+1,March,1+7*_2nd_weekday_occurrence)-WEEKDAY(DATE(YEAR+1,March,8-Friday)))</f>
        <v>45730</v>
      </c>
      <c r="N142" s="41"/>
    </row>
    <row r="143" spans="2:14" ht="15" customHeight="1" x14ac:dyDescent="0.25">
      <c r="B143" s="4">
        <v>238</v>
      </c>
      <c r="C143" t="s">
        <v>146</v>
      </c>
      <c r="D143" s="8" t="s">
        <v>579</v>
      </c>
      <c r="F143" s="15" t="s">
        <v>90</v>
      </c>
      <c r="G143" s="26"/>
      <c r="H143" s="26"/>
      <c r="I143" s="26"/>
      <c r="J143" s="26"/>
      <c r="K143" s="26"/>
      <c r="L143" t="s">
        <v>708</v>
      </c>
      <c r="M143" s="44">
        <f>IF(O143&gt;0,O143,DATE(YEAR+1,March,1+7*_3rd_weekday_occurrence)-WEEKDAY(DATE(YEAR+1,March,8-Monday)))</f>
        <v>45733</v>
      </c>
      <c r="N143" s="41"/>
    </row>
    <row r="144" spans="2:14" ht="15" customHeight="1" x14ac:dyDescent="0.25">
      <c r="B144" s="4">
        <v>431</v>
      </c>
      <c r="C144" t="s">
        <v>89</v>
      </c>
      <c r="D144" s="8" t="s">
        <v>579</v>
      </c>
      <c r="F144" s="42" t="s">
        <v>90</v>
      </c>
      <c r="G144" s="26"/>
      <c r="H144" s="26"/>
      <c r="I144" s="26"/>
      <c r="J144" s="26"/>
      <c r="K144" s="26"/>
      <c r="L144" s="42" t="s">
        <v>710</v>
      </c>
      <c r="M144" s="55">
        <f>IF(O144&gt;0,O144,DATE(YEAR+1,March,1+7*_3rd_weekday_occurrence)-WEEKDAY(DATE(YEAR+1,March,8-Monday)))</f>
        <v>45733</v>
      </c>
      <c r="N144" s="41"/>
    </row>
    <row r="145" spans="2:14" ht="15" customHeight="1" x14ac:dyDescent="0.25">
      <c r="B145" s="4">
        <v>418</v>
      </c>
      <c r="C145" t="s">
        <v>91</v>
      </c>
      <c r="D145" s="8" t="s">
        <v>579</v>
      </c>
      <c r="F145" s="42" t="s">
        <v>92</v>
      </c>
      <c r="G145" s="26"/>
      <c r="H145" s="26"/>
      <c r="I145" s="26"/>
      <c r="J145" s="26"/>
      <c r="K145" s="26"/>
      <c r="L145" s="42" t="s">
        <v>709</v>
      </c>
      <c r="M145" s="55">
        <f>IF(O145&gt;0,O145,DATE(YEAR+1,March,1+7*_3rd_weekday_occurrence)-WEEKDAY(DATE(YEAR+1,March,8-Wednesday)))</f>
        <v>45735</v>
      </c>
      <c r="N145" s="41"/>
    </row>
    <row r="146" spans="2:14" ht="15" customHeight="1" x14ac:dyDescent="0.25">
      <c r="B146" s="4">
        <v>410</v>
      </c>
      <c r="C146" t="s">
        <v>585</v>
      </c>
      <c r="D146" s="8" t="s">
        <v>579</v>
      </c>
      <c r="F146" s="42" t="s">
        <v>94</v>
      </c>
      <c r="G146" s="26"/>
      <c r="H146" s="26"/>
      <c r="I146" s="26"/>
      <c r="J146" s="26"/>
      <c r="K146" s="26"/>
      <c r="L146" t="s">
        <v>693</v>
      </c>
      <c r="M146" s="55">
        <f>IF(O146&gt;0,O146,DATE(YEAR+1,March,1+7*_3rd_weekday_occurrence)-WEEKDAY(DATE(YEAR+1,March,8-Thursday)))</f>
        <v>45736</v>
      </c>
      <c r="N146" s="41"/>
    </row>
    <row r="147" spans="2:14" ht="15" customHeight="1" x14ac:dyDescent="0.25">
      <c r="B147" s="4">
        <v>647</v>
      </c>
      <c r="C147" t="s">
        <v>4</v>
      </c>
      <c r="D147" s="8" t="s">
        <v>579</v>
      </c>
      <c r="F147" s="15" t="s">
        <v>471</v>
      </c>
      <c r="G147" s="26"/>
      <c r="H147" s="26"/>
      <c r="I147" s="26"/>
      <c r="J147" s="26"/>
      <c r="K147" s="26"/>
      <c r="L147" t="s">
        <v>693</v>
      </c>
      <c r="M147" s="55">
        <f>IF(O147&gt;0,O147,DATE(YEAR+1,March,1+7*_3rd_weekday_occurrence)-WEEKDAY(DATE(YEAR+1,March,8-Thursday)))</f>
        <v>45736</v>
      </c>
      <c r="N147" s="41"/>
    </row>
    <row r="148" spans="2:14" ht="15" customHeight="1" x14ac:dyDescent="0.25">
      <c r="B148" s="4">
        <v>1457</v>
      </c>
      <c r="C148" t="s">
        <v>161</v>
      </c>
      <c r="D148" s="8" t="s">
        <v>579</v>
      </c>
      <c r="E148" s="8" t="s">
        <v>225</v>
      </c>
      <c r="F148" s="15" t="s">
        <v>500</v>
      </c>
      <c r="G148" s="26"/>
      <c r="H148" s="26"/>
      <c r="I148" s="26"/>
      <c r="J148" s="26"/>
      <c r="K148" s="26"/>
      <c r="L148" t="s">
        <v>693</v>
      </c>
      <c r="M148" s="55">
        <f>IF(O148&gt;0,O148,DATE(YEAR+1,March,1+7*_3rd_weekday_occurrence)-WEEKDAY(DATE(YEAR+1,March,8-Friday)))</f>
        <v>45737</v>
      </c>
      <c r="N148" s="41"/>
    </row>
    <row r="149" spans="2:14" ht="15" customHeight="1" x14ac:dyDescent="0.25">
      <c r="B149" s="4">
        <v>921</v>
      </c>
      <c r="C149" t="s">
        <v>95</v>
      </c>
      <c r="D149" s="8" t="s">
        <v>579</v>
      </c>
      <c r="F149" s="42" t="s">
        <v>96</v>
      </c>
      <c r="G149" s="26"/>
      <c r="H149" s="26"/>
      <c r="I149" s="26"/>
      <c r="J149" s="26"/>
      <c r="K149" s="26"/>
      <c r="L149" t="s">
        <v>693</v>
      </c>
      <c r="M149" s="55">
        <f>IF(O149&gt;0,O149,DATE(YEAR+1,March,1+7*_4th_weekday_occurrence)-WEEKDAY(DATE(YEAR+1,March,8-Monday)))</f>
        <v>45740</v>
      </c>
      <c r="N149" s="41"/>
    </row>
    <row r="150" spans="2:14" ht="15" customHeight="1" x14ac:dyDescent="0.25">
      <c r="B150" s="4">
        <v>361</v>
      </c>
      <c r="C150" t="s">
        <v>208</v>
      </c>
      <c r="D150" s="8" t="s">
        <v>579</v>
      </c>
      <c r="E150" s="8" t="s">
        <v>225</v>
      </c>
      <c r="F150" s="14" t="s">
        <v>98</v>
      </c>
      <c r="G150" s="26"/>
      <c r="H150" s="26"/>
      <c r="I150" s="26"/>
      <c r="J150" s="26"/>
      <c r="K150" s="26"/>
      <c r="L150" s="51" t="s">
        <v>673</v>
      </c>
      <c r="M150" s="44">
        <f>IF(O150&gt;0,O150,DATE(YEAR+1,March,1+7*_4th_weekday_occurrence)-WEEKDAY(DATE(YEAR+1,March,8-Tuesday)))</f>
        <v>45741</v>
      </c>
      <c r="N150" s="41"/>
    </row>
    <row r="151" spans="2:14" ht="15" customHeight="1" x14ac:dyDescent="0.25">
      <c r="B151" s="4">
        <v>742</v>
      </c>
      <c r="C151" t="s">
        <v>97</v>
      </c>
      <c r="D151" s="8" t="s">
        <v>579</v>
      </c>
      <c r="E151" s="8" t="s">
        <v>225</v>
      </c>
      <c r="F151" s="42" t="s">
        <v>98</v>
      </c>
      <c r="G151" s="26"/>
      <c r="H151" s="26"/>
      <c r="I151" s="26"/>
      <c r="J151" s="26"/>
      <c r="K151" s="26"/>
      <c r="L151" s="5" t="s">
        <v>709</v>
      </c>
      <c r="M151" s="55">
        <f>IF(O151&gt;0,O151,DATE(YEAR+1,March,1+7*_4th_weekday_occurrence)-WEEKDAY(DATE(YEAR+1,March,8-Tuesday)))</f>
        <v>45741</v>
      </c>
      <c r="N151" s="41"/>
    </row>
    <row r="152" spans="2:14" ht="15" customHeight="1" x14ac:dyDescent="0.25">
      <c r="B152" s="4">
        <v>1265</v>
      </c>
      <c r="C152" t="s">
        <v>194</v>
      </c>
      <c r="D152" s="8" t="s">
        <v>579</v>
      </c>
      <c r="E152" s="8" t="s">
        <v>225</v>
      </c>
      <c r="F152" s="15" t="s">
        <v>98</v>
      </c>
      <c r="G152" s="26"/>
      <c r="H152" s="26"/>
      <c r="I152" s="26"/>
      <c r="J152" s="26"/>
      <c r="K152" s="26"/>
      <c r="L152" s="42" t="s">
        <v>710</v>
      </c>
      <c r="M152" s="55">
        <f>IF(O152&gt;0,O152,DATE(YEAR+1,March,1+7*_4th_weekday_occurrence)-WEEKDAY(DATE(YEAR+1,March,8-Tuesday)))</f>
        <v>45741</v>
      </c>
      <c r="N152" s="41"/>
    </row>
    <row r="153" spans="2:14" ht="15" customHeight="1" x14ac:dyDescent="0.25">
      <c r="B153" s="4">
        <v>1978</v>
      </c>
      <c r="C153" t="s">
        <v>211</v>
      </c>
      <c r="D153" s="8" t="s">
        <v>579</v>
      </c>
      <c r="E153" s="8" t="s">
        <v>225</v>
      </c>
      <c r="F153" s="15" t="s">
        <v>98</v>
      </c>
      <c r="G153" s="26"/>
      <c r="H153" s="26"/>
      <c r="I153" s="26"/>
      <c r="J153" s="26"/>
      <c r="K153" s="26"/>
      <c r="L153" s="51" t="s">
        <v>708</v>
      </c>
      <c r="M153" s="55">
        <f>IF(O153&gt;0,O153,DATE(YEAR+1,March,1+7*_4th_weekday_occurrence)-WEEKDAY(DATE(YEAR+1,March,8-Tuesday)))</f>
        <v>45741</v>
      </c>
      <c r="N153" s="41"/>
    </row>
    <row r="154" spans="2:14" ht="15" customHeight="1" x14ac:dyDescent="0.25">
      <c r="B154" s="4">
        <v>104</v>
      </c>
      <c r="C154" t="s">
        <v>195</v>
      </c>
      <c r="D154" s="8" t="s">
        <v>579</v>
      </c>
      <c r="E154" s="8" t="s">
        <v>225</v>
      </c>
      <c r="F154" t="s">
        <v>534</v>
      </c>
      <c r="G154" s="5">
        <f>DATE(YEAR+1,March,1+7*_5th_weekday_occurrence)-WEEKDAY(DATE(YEAR+1,March,8-Monday))</f>
        <v>45747</v>
      </c>
      <c r="H154" s="5">
        <f>DATE(YEAR+1,March,1+7*_5th_weekday_occurrence)-WEEKDAY(DATE(YEAR+1,March,8-Tuesday))</f>
        <v>45748</v>
      </c>
      <c r="I154" s="5">
        <f>DATE(YEAR+1,March,1+7*_5th_weekday_occurrence)-WEEKDAY(DATE(YEAR+1,March,8-Wednesday))</f>
        <v>45749</v>
      </c>
      <c r="J154" s="5">
        <f>DATE(YEAR+1,March,1+7*_5th_weekday_occurrence)-WEEKDAY(DATE(YEAR+1,March,8-Thursday))</f>
        <v>45750</v>
      </c>
      <c r="K154" s="5">
        <f>DATE(YEAR+1,March,1+7*_5th_weekday_occurrence)-WEEKDAY(DATE(YEAR+1,March,8-Friday))</f>
        <v>45751</v>
      </c>
      <c r="L154" s="5" t="s">
        <v>710</v>
      </c>
      <c r="M154" s="55">
        <f>IF(O154&gt;0,O154,SMALL(G154:K154,COUNTIF(G154:K154,0)+1))</f>
        <v>45747</v>
      </c>
      <c r="N154" s="41"/>
    </row>
    <row r="155" spans="2:14" ht="15" customHeight="1" x14ac:dyDescent="0.25">
      <c r="B155" s="4">
        <v>569</v>
      </c>
      <c r="C155" t="s">
        <v>99</v>
      </c>
      <c r="D155" s="8" t="s">
        <v>579</v>
      </c>
      <c r="F155" s="42" t="s">
        <v>100</v>
      </c>
      <c r="G155" s="26"/>
      <c r="H155" s="26"/>
      <c r="I155" s="26"/>
      <c r="J155" s="26"/>
      <c r="K155" s="26"/>
      <c r="L155" s="26" t="s">
        <v>672</v>
      </c>
      <c r="M155" s="55">
        <f>IF(O155&gt;0,O155,DATE(YEAR+1,April,1+7*_1st_weekday_occurrence)-WEEKDAY(DATE(YEAR+1,April,8-Thursday)))</f>
        <v>45750</v>
      </c>
      <c r="N155" s="41"/>
    </row>
    <row r="156" spans="2:14" ht="15" customHeight="1" x14ac:dyDescent="0.25">
      <c r="B156" s="4">
        <v>1473</v>
      </c>
      <c r="C156" t="s">
        <v>101</v>
      </c>
      <c r="D156" s="8" t="s">
        <v>579</v>
      </c>
      <c r="F156" s="42" t="s">
        <v>100</v>
      </c>
      <c r="G156" s="26"/>
      <c r="H156" s="26"/>
      <c r="I156" s="26"/>
      <c r="J156" s="26"/>
      <c r="K156" s="26"/>
      <c r="L156" s="26" t="s">
        <v>672</v>
      </c>
      <c r="M156" s="55">
        <f>IF(O156&gt;0,O156,DATE(YEAR+1,April,1+7*_1st_weekday_occurrence)-WEEKDAY(DATE(YEAR+1,April,8-Thursday)))</f>
        <v>45750</v>
      </c>
      <c r="N156" s="41"/>
    </row>
    <row r="157" spans="2:14" ht="15" customHeight="1" x14ac:dyDescent="0.25">
      <c r="B157" s="4">
        <v>1909</v>
      </c>
      <c r="C157" t="s">
        <v>102</v>
      </c>
      <c r="D157" s="8" t="s">
        <v>579</v>
      </c>
      <c r="F157" s="42" t="s">
        <v>103</v>
      </c>
      <c r="G157" s="26"/>
      <c r="H157" s="26"/>
      <c r="I157" s="26"/>
      <c r="J157" s="26"/>
      <c r="K157" s="26"/>
      <c r="L157" s="5" t="s">
        <v>710</v>
      </c>
      <c r="M157" s="55">
        <f>IF(O157&gt;0,O157,DATE(YEAR+1,April,1+7*_1st_weekday_occurrence)-WEEKDAY(DATE(YEAR+1,April,8-Saturday)))</f>
        <v>45752</v>
      </c>
      <c r="N157" s="41"/>
    </row>
    <row r="158" spans="2:14" ht="15" customHeight="1" x14ac:dyDescent="0.25">
      <c r="B158" s="4">
        <v>234</v>
      </c>
      <c r="C158" t="s">
        <v>104</v>
      </c>
      <c r="D158" s="8" t="s">
        <v>579</v>
      </c>
      <c r="F158" s="42" t="s">
        <v>105</v>
      </c>
      <c r="G158" s="26"/>
      <c r="H158" s="26"/>
      <c r="I158" s="26"/>
      <c r="J158" s="26"/>
      <c r="K158" s="26"/>
      <c r="L158" s="26" t="s">
        <v>672</v>
      </c>
      <c r="M158" s="44">
        <f>IF(O158&gt;0,O158,DATE(YEAR+1,April,1+7*_2nd_weekday_occurrence)-WEEKDAY(DATE(YEAR+1,April,8-Tuesday)))</f>
        <v>45755</v>
      </c>
      <c r="N158" s="41"/>
    </row>
    <row r="159" spans="2:14" ht="15" customHeight="1" x14ac:dyDescent="0.25">
      <c r="B159" s="4">
        <v>487</v>
      </c>
      <c r="C159" t="s">
        <v>46</v>
      </c>
      <c r="D159" s="8" t="s">
        <v>579</v>
      </c>
      <c r="E159" s="8" t="s">
        <v>225</v>
      </c>
      <c r="F159" s="42" t="s">
        <v>481</v>
      </c>
      <c r="G159" s="26"/>
      <c r="H159" s="26"/>
      <c r="I159" s="26"/>
      <c r="J159" s="26"/>
      <c r="K159" s="26"/>
      <c r="L159" s="5" t="s">
        <v>710</v>
      </c>
      <c r="M159" s="55">
        <f>IF(O159&gt;0,O159,DATE(YEAR+1,April,1+7*_2nd_weekday_occurrence)-WEEKDAY(DATE(YEAR+1,April,8-Wednesday)))</f>
        <v>45756</v>
      </c>
      <c r="N159" s="41"/>
    </row>
    <row r="160" spans="2:14" ht="15" customHeight="1" x14ac:dyDescent="0.25">
      <c r="B160" s="4">
        <v>856</v>
      </c>
      <c r="C160" t="s">
        <v>66</v>
      </c>
      <c r="D160" s="8" t="s">
        <v>579</v>
      </c>
      <c r="E160" s="8" t="s">
        <v>225</v>
      </c>
      <c r="F160" s="14" t="s">
        <v>481</v>
      </c>
      <c r="G160" s="26"/>
      <c r="H160" s="26"/>
      <c r="I160" s="26"/>
      <c r="J160" s="26"/>
      <c r="K160" s="26"/>
      <c r="L160" t="s">
        <v>693</v>
      </c>
      <c r="M160" s="55">
        <f>IF(O160&gt;0,O160,DATE(YEAR+1,April,1+7*_2nd_weekday_occurrence)-WEEKDAY(DATE(YEAR+1,April,8-Wednesday)))</f>
        <v>45756</v>
      </c>
      <c r="N160" s="41"/>
    </row>
    <row r="161" spans="2:14" ht="15" customHeight="1" x14ac:dyDescent="0.25">
      <c r="B161" s="4">
        <v>2013</v>
      </c>
      <c r="C161" t="s">
        <v>196</v>
      </c>
      <c r="D161" s="8" t="s">
        <v>579</v>
      </c>
      <c r="F161" s="15" t="s">
        <v>519</v>
      </c>
      <c r="L161" s="51" t="s">
        <v>673</v>
      </c>
      <c r="M161" s="44">
        <f>IF(O161&gt;0,O161,DATE(YEAR+1,April,1+7*_2nd_weekday_occurrence)-WEEKDAY(DATE(YEAR+1,April,8-Friday)))</f>
        <v>45758</v>
      </c>
    </row>
    <row r="162" spans="2:14" ht="15" customHeight="1" x14ac:dyDescent="0.25">
      <c r="B162" s="4">
        <v>1071</v>
      </c>
      <c r="C162" t="s">
        <v>141</v>
      </c>
      <c r="D162" s="8" t="s">
        <v>579</v>
      </c>
      <c r="F162" s="42" t="s">
        <v>485</v>
      </c>
      <c r="G162" s="26"/>
      <c r="H162" s="26"/>
      <c r="I162" s="26"/>
      <c r="J162" s="26"/>
      <c r="K162" s="26"/>
      <c r="L162" t="s">
        <v>710</v>
      </c>
      <c r="M162" s="55">
        <f>IF(O162&gt;0,O162,DATE(YEAR+1,April,1+7*_3rd_weekday_occurrence)-WEEKDAY(DATE(YEAR+1,April,8-Tuesday)))</f>
        <v>45762</v>
      </c>
      <c r="N162" s="41"/>
    </row>
    <row r="163" spans="2:14" ht="15" customHeight="1" x14ac:dyDescent="0.25">
      <c r="B163" s="4">
        <v>5</v>
      </c>
      <c r="C163" t="s">
        <v>178</v>
      </c>
      <c r="D163" s="8" t="s">
        <v>579</v>
      </c>
      <c r="F163" s="14" t="s">
        <v>108</v>
      </c>
      <c r="L163" s="51" t="s">
        <v>708</v>
      </c>
      <c r="M163" s="55">
        <f>IF(O163&gt;0,O163,DATE(YEAR+1,April,1+7*_3rd_weekday_occurrence)-WEEKDAY(DATE(YEAR+1,April,8-Wednesday)))</f>
        <v>45763</v>
      </c>
      <c r="N163" s="41"/>
    </row>
    <row r="164" spans="2:14" ht="15" customHeight="1" x14ac:dyDescent="0.25">
      <c r="B164" s="4">
        <v>239</v>
      </c>
      <c r="C164" t="s">
        <v>12</v>
      </c>
      <c r="D164" s="8" t="s">
        <v>579</v>
      </c>
      <c r="F164" s="15" t="s">
        <v>452</v>
      </c>
      <c r="G164" s="26"/>
      <c r="H164" s="26"/>
      <c r="I164" s="26"/>
      <c r="J164" s="26"/>
      <c r="K164" s="26"/>
      <c r="L164" s="51" t="s">
        <v>673</v>
      </c>
      <c r="M164" s="44">
        <f>IF(O164&gt;0,O164,DATE(YEAR+1,April,1+7*_3rd_weekday_occurrence)-WEEKDAY(DATE(YEAR+1,April,8-Thursday)))</f>
        <v>45764</v>
      </c>
      <c r="N164" s="41"/>
    </row>
    <row r="165" spans="2:14" ht="15" customHeight="1" x14ac:dyDescent="0.25">
      <c r="B165" s="4" t="s">
        <v>181</v>
      </c>
      <c r="C165" t="s">
        <v>182</v>
      </c>
      <c r="D165" s="8" t="s">
        <v>579</v>
      </c>
      <c r="F165" s="15" t="s">
        <v>452</v>
      </c>
      <c r="G165" s="26"/>
      <c r="H165" s="26"/>
      <c r="I165" s="26"/>
      <c r="J165" s="26"/>
      <c r="K165" s="26"/>
      <c r="L165" s="26" t="s">
        <v>672</v>
      </c>
      <c r="M165" s="44">
        <f>IF(O160&gt;0,O160,DATE(YEAR+1,April,1+7*_3rd_weekday_occurrence)-WEEKDAY(DATE(YEAR+1,April,8-Thursday)))</f>
        <v>45764</v>
      </c>
    </row>
    <row r="166" spans="2:14" ht="15" customHeight="1" x14ac:dyDescent="0.25">
      <c r="B166" s="4">
        <v>433</v>
      </c>
      <c r="C166" t="s">
        <v>220</v>
      </c>
      <c r="D166" s="8" t="s">
        <v>579</v>
      </c>
      <c r="E166" s="8" t="s">
        <v>225</v>
      </c>
      <c r="F166" s="15" t="s">
        <v>461</v>
      </c>
      <c r="G166" s="26"/>
      <c r="H166" s="26"/>
      <c r="I166" s="26"/>
      <c r="J166" s="26"/>
      <c r="K166" s="26"/>
      <c r="L166" s="51" t="s">
        <v>673</v>
      </c>
      <c r="M166" s="55">
        <f>IF(O166&gt;0,O166,DATE(YEAR+1,April,1+7*_3rd_weekday_occurrence)-WEEKDAY(DATE(YEAR+1,April,8-Friday)))</f>
        <v>45765</v>
      </c>
      <c r="N166" s="41"/>
    </row>
    <row r="167" spans="2:14" ht="15" customHeight="1" x14ac:dyDescent="0.25">
      <c r="B167" s="4">
        <v>8</v>
      </c>
      <c r="C167" t="s">
        <v>180</v>
      </c>
      <c r="D167" s="8" t="s">
        <v>579</v>
      </c>
      <c r="E167" s="8" t="s">
        <v>225</v>
      </c>
      <c r="F167" s="15" t="s">
        <v>440</v>
      </c>
      <c r="L167" t="s">
        <v>693</v>
      </c>
      <c r="M167" s="55">
        <f>IF(O167&gt;0,O167,DATE(YEAR+1,April,1+7*_3rd_weekday_occurrence)-WEEKDAY(DATE(YEAR+1,April,8-Monday)))</f>
        <v>45768</v>
      </c>
    </row>
    <row r="168" spans="2:14" ht="15" customHeight="1" x14ac:dyDescent="0.25">
      <c r="B168" s="4">
        <v>459</v>
      </c>
      <c r="C168" t="s">
        <v>137</v>
      </c>
      <c r="D168" s="8" t="s">
        <v>579</v>
      </c>
      <c r="F168" s="14" t="s">
        <v>440</v>
      </c>
      <c r="G168" s="26"/>
      <c r="H168" s="26"/>
      <c r="I168" s="26"/>
      <c r="J168" s="26"/>
      <c r="K168" s="26"/>
      <c r="L168" s="42" t="s">
        <v>672</v>
      </c>
      <c r="M168" s="55">
        <f>IF(O168&gt;0,O168,DATE(YEAR+1,April,1+7*_3rd_weekday_occurrence)-WEEKDAY(DATE(YEAR+1,April,8-Monday)))</f>
        <v>45768</v>
      </c>
      <c r="N168" s="41"/>
    </row>
    <row r="169" spans="2:14" ht="15" customHeight="1" x14ac:dyDescent="0.25">
      <c r="B169" s="4" t="s">
        <v>138</v>
      </c>
      <c r="C169" t="s">
        <v>139</v>
      </c>
      <c r="D169" s="8" t="s">
        <v>579</v>
      </c>
      <c r="F169" s="42" t="s">
        <v>669</v>
      </c>
      <c r="G169" s="26"/>
      <c r="H169" s="26"/>
      <c r="I169" s="26"/>
      <c r="J169" s="26"/>
      <c r="K169" s="26"/>
      <c r="L169" s="51" t="s">
        <v>673</v>
      </c>
      <c r="M169" s="55">
        <f>IF(O166&gt;0,O166,DATE(YEAR+1,April,1+7*_4th_weekday_occurrence)-WEEKDAY(DATE(YEAR+1,April,8-Tuesday)))</f>
        <v>45769</v>
      </c>
    </row>
    <row r="170" spans="2:14" ht="15" customHeight="1" x14ac:dyDescent="0.25">
      <c r="B170" s="4">
        <v>936</v>
      </c>
      <c r="C170" t="s">
        <v>165</v>
      </c>
      <c r="D170" s="8" t="s">
        <v>579</v>
      </c>
      <c r="E170" s="8" t="s">
        <v>225</v>
      </c>
      <c r="F170" s="14" t="s">
        <v>433</v>
      </c>
      <c r="G170" s="26"/>
      <c r="H170" s="26"/>
      <c r="I170" s="26"/>
      <c r="J170" s="26"/>
      <c r="K170" s="26"/>
      <c r="L170" t="s">
        <v>693</v>
      </c>
      <c r="M170" s="55">
        <f>IF(O170&gt;0,O170,DATE(YEAR+1,April,1+7*_4th_weekday_occurrence)-WEEKDAY(DATE(YEAR+1,April,8-Wednesday)))</f>
        <v>45770</v>
      </c>
      <c r="N170" s="41"/>
    </row>
    <row r="171" spans="2:14" ht="15" customHeight="1" x14ac:dyDescent="0.25">
      <c r="B171" s="4">
        <v>802</v>
      </c>
      <c r="C171" t="s">
        <v>169</v>
      </c>
      <c r="D171" s="8" t="s">
        <v>579</v>
      </c>
      <c r="E171" s="8" t="s">
        <v>225</v>
      </c>
      <c r="F171" s="15" t="s">
        <v>476</v>
      </c>
      <c r="G171" s="26"/>
      <c r="H171" s="26"/>
      <c r="I171" s="26"/>
      <c r="J171" s="26"/>
      <c r="K171" s="26"/>
      <c r="L171" s="42" t="s">
        <v>709</v>
      </c>
      <c r="M171" s="55">
        <f>IF(O171&gt;0,O171,DATE(YEAR+1,April,1+7*_4th_weekday_occurrence)-WEEKDAY(DATE(YEAR+1,April,8-Thursday)))</f>
        <v>45771</v>
      </c>
      <c r="N171" s="41"/>
    </row>
    <row r="172" spans="2:14" ht="15" customHeight="1" x14ac:dyDescent="0.25">
      <c r="B172" s="4">
        <v>1363</v>
      </c>
      <c r="C172" t="s">
        <v>28</v>
      </c>
      <c r="D172" s="8" t="s">
        <v>579</v>
      </c>
      <c r="F172" s="14" t="s">
        <v>114</v>
      </c>
      <c r="G172" s="26"/>
      <c r="H172" s="26"/>
      <c r="I172" s="26"/>
      <c r="J172" s="26"/>
      <c r="K172" s="26"/>
      <c r="L172" s="5" t="s">
        <v>710</v>
      </c>
      <c r="M172" s="55">
        <f>IF(O172&gt;0,O172,DATE(YEAR+1,April,1+7*_4th_weekday_occurrence)-WEEKDAY(DATE(YEAR+1,April,8-Friday)))</f>
        <v>45772</v>
      </c>
      <c r="N172" s="41"/>
    </row>
    <row r="173" spans="2:14" ht="15" customHeight="1" x14ac:dyDescent="0.25">
      <c r="B173" s="4">
        <v>2022</v>
      </c>
      <c r="C173" t="s">
        <v>163</v>
      </c>
      <c r="D173" s="8" t="s">
        <v>579</v>
      </c>
      <c r="F173" s="14" t="s">
        <v>521</v>
      </c>
      <c r="G173" s="26"/>
      <c r="H173" s="26"/>
      <c r="I173" s="26"/>
      <c r="J173" s="26"/>
      <c r="K173" s="26"/>
      <c r="L173" s="5" t="s">
        <v>710</v>
      </c>
      <c r="M173" s="55">
        <f>IF(O173&gt;0,O173,DATE(YEAR+1,April,1+7*_4th_weekday_occurrence)-WEEKDAY(DATE(YEAR+1,April,8-Saturday)))</f>
        <v>45773</v>
      </c>
    </row>
    <row r="174" spans="2:14" ht="15" customHeight="1" x14ac:dyDescent="0.25">
      <c r="B174" s="4">
        <v>1200</v>
      </c>
      <c r="C174" t="s">
        <v>131</v>
      </c>
      <c r="D174" s="8" t="s">
        <v>579</v>
      </c>
      <c r="F174" s="15" t="s">
        <v>496</v>
      </c>
      <c r="G174" s="26"/>
      <c r="H174" s="26"/>
      <c r="I174" s="26"/>
      <c r="J174" s="26"/>
      <c r="K174" s="26"/>
      <c r="L174" s="42" t="s">
        <v>710</v>
      </c>
      <c r="M174" s="55">
        <f>IF(O174&gt;0,O174,DATE(YEAR+1,April,1+7*_4th_weekday_occurrence)-WEEKDAY(DATE(YEAR+1,April,8-Monday)))</f>
        <v>45775</v>
      </c>
      <c r="N174" s="41"/>
    </row>
    <row r="175" spans="2:14" ht="15" customHeight="1" x14ac:dyDescent="0.25">
      <c r="B175" s="4">
        <v>197</v>
      </c>
      <c r="C175" t="s">
        <v>213</v>
      </c>
      <c r="D175" s="8" t="s">
        <v>579</v>
      </c>
      <c r="E175" s="8" t="s">
        <v>225</v>
      </c>
      <c r="F175" s="15" t="s">
        <v>447</v>
      </c>
      <c r="G175" s="26"/>
      <c r="H175" s="26"/>
      <c r="I175" s="26"/>
      <c r="J175" s="26"/>
      <c r="K175" s="26"/>
      <c r="L175" s="26" t="s">
        <v>672</v>
      </c>
      <c r="M175" s="44">
        <f>IF(O175&gt;0,O175,DATE(YEAR+1,May,1+7*_1st_weekday_occurrence)-WEEKDAY(DATE(YEAR+1,May,8-Thursday)))</f>
        <v>45778</v>
      </c>
      <c r="N175" s="41"/>
    </row>
    <row r="176" spans="2:14" ht="15" customHeight="1" x14ac:dyDescent="0.25">
      <c r="B176" s="4">
        <v>385</v>
      </c>
      <c r="C176" t="s">
        <v>33</v>
      </c>
      <c r="D176" s="8" t="s">
        <v>579</v>
      </c>
      <c r="F176" s="15" t="s">
        <v>447</v>
      </c>
      <c r="G176" s="26"/>
      <c r="H176" s="26"/>
      <c r="I176" s="26"/>
      <c r="J176" s="26"/>
      <c r="K176" s="26"/>
      <c r="L176" t="s">
        <v>708</v>
      </c>
      <c r="M176" s="55">
        <f>IF(O176&gt;0,O176,DATE(YEAR+1,May,1+7*_1st_weekday_occurrence)-WEEKDAY(DATE(YEAR+1,May,8-Thursday)))</f>
        <v>45778</v>
      </c>
      <c r="N176" s="41"/>
    </row>
    <row r="177" spans="2:14" ht="15" customHeight="1" x14ac:dyDescent="0.25">
      <c r="B177" s="4">
        <v>996</v>
      </c>
      <c r="C177" t="s">
        <v>192</v>
      </c>
      <c r="D177" s="8" t="s">
        <v>579</v>
      </c>
      <c r="E177" s="8" t="s">
        <v>225</v>
      </c>
      <c r="F177" s="15" t="s">
        <v>116</v>
      </c>
      <c r="G177" s="26"/>
      <c r="H177" s="26"/>
      <c r="I177" s="26"/>
      <c r="J177" s="26"/>
      <c r="K177" s="26"/>
      <c r="L177" t="s">
        <v>708</v>
      </c>
      <c r="M177" s="55">
        <f>IF(O177&gt;0,O177,DATE(YEAR+1,May,1+7*_1st_weekday_occurrence)-WEEKDAY(DATE(YEAR+1,May,8-Wednesday)))</f>
        <v>45784</v>
      </c>
      <c r="N177" s="41"/>
    </row>
    <row r="178" spans="2:14" ht="15" customHeight="1" x14ac:dyDescent="0.25">
      <c r="B178" s="4">
        <v>1389</v>
      </c>
      <c r="C178" t="s">
        <v>218</v>
      </c>
      <c r="D178" s="8" t="s">
        <v>579</v>
      </c>
      <c r="F178" s="14" t="s">
        <v>116</v>
      </c>
      <c r="G178" s="26"/>
      <c r="H178" s="26"/>
      <c r="I178" s="26"/>
      <c r="J178" s="26"/>
      <c r="K178" s="26"/>
      <c r="L178" s="42" t="s">
        <v>709</v>
      </c>
      <c r="M178" s="55">
        <f>IF(O178&gt;0,O178,DATE(YEAR+1,May,1+7*_1st_weekday_occurrence)-WEEKDAY(DATE(YEAR+1,May,8-Wednesday)))</f>
        <v>45784</v>
      </c>
      <c r="N178" s="41"/>
    </row>
    <row r="179" spans="2:14" ht="15" customHeight="1" x14ac:dyDescent="0.25">
      <c r="B179" s="4">
        <v>107</v>
      </c>
      <c r="C179" t="s">
        <v>581</v>
      </c>
      <c r="D179" s="8" t="s">
        <v>579</v>
      </c>
      <c r="E179" s="8" t="s">
        <v>225</v>
      </c>
      <c r="F179" s="15" t="s">
        <v>443</v>
      </c>
      <c r="G179" s="26"/>
      <c r="H179" s="26"/>
      <c r="I179" s="26"/>
      <c r="J179" s="26"/>
      <c r="K179" s="26"/>
      <c r="L179" t="s">
        <v>708</v>
      </c>
      <c r="M179" s="44">
        <f>IF(O179&gt;0,O179,DATE(YEAR+1,May,1+7*_2nd_weekday_occurrence)-WEEKDAY(DATE(YEAR+1,May,8-Thursday)))</f>
        <v>45785</v>
      </c>
      <c r="N179" s="41"/>
    </row>
    <row r="180" spans="2:14" ht="15" customHeight="1" x14ac:dyDescent="0.25">
      <c r="B180" s="4">
        <v>647</v>
      </c>
      <c r="C180" t="s">
        <v>4</v>
      </c>
      <c r="D180" s="8" t="s">
        <v>579</v>
      </c>
      <c r="E180" s="8" t="s">
        <v>225</v>
      </c>
      <c r="F180" s="42" t="s">
        <v>120</v>
      </c>
      <c r="G180" s="26"/>
      <c r="H180" s="26"/>
      <c r="I180" s="26"/>
      <c r="J180" s="26"/>
      <c r="K180" s="26"/>
      <c r="L180" t="s">
        <v>693</v>
      </c>
      <c r="M180" s="55">
        <f>IF(O180&gt;0,O180,DATE(YEAR+1,May,1+7*_2nd_weekday_occurrence)-WEEKDAY(DATE(YEAR+1,May,8-Thursday)))</f>
        <v>45785</v>
      </c>
      <c r="N180" s="41"/>
    </row>
    <row r="181" spans="2:14" ht="15" customHeight="1" x14ac:dyDescent="0.25">
      <c r="B181" s="4">
        <v>315</v>
      </c>
      <c r="C181" t="s">
        <v>197</v>
      </c>
      <c r="D181" s="8" t="s">
        <v>579</v>
      </c>
      <c r="F181" s="14" t="s">
        <v>455</v>
      </c>
      <c r="G181" s="26"/>
      <c r="H181" s="26"/>
      <c r="I181" s="26"/>
      <c r="J181" s="26"/>
      <c r="K181" s="26"/>
      <c r="L181" s="5" t="s">
        <v>708</v>
      </c>
      <c r="M181" s="44">
        <f>IF(O181&gt;0,O181,DATE(YEAR+1,May,1+7*_2nd_weekday_occurrence)-WEEKDAY(DATE(YEAR+1,May,8-Friday)))</f>
        <v>45786</v>
      </c>
      <c r="N181" s="41"/>
    </row>
    <row r="182" spans="2:14" ht="15" customHeight="1" x14ac:dyDescent="0.25">
      <c r="B182" s="4">
        <v>1989</v>
      </c>
      <c r="C182" s="57" t="s">
        <v>113</v>
      </c>
      <c r="D182" s="58" t="s">
        <v>579</v>
      </c>
      <c r="E182" s="58" t="s">
        <v>225</v>
      </c>
      <c r="F182" s="54" t="s">
        <v>518</v>
      </c>
      <c r="L182" s="51" t="s">
        <v>693</v>
      </c>
      <c r="M182" s="55">
        <f>IF(O182&gt;0,O182,DATE(YEAR+1,May,1+7*_2nd_weekday_occurrence)-WEEKDAY(DATE(YEAR+1,May,8-Saturday)))</f>
        <v>45787</v>
      </c>
    </row>
    <row r="183" spans="2:14" ht="15" customHeight="1" x14ac:dyDescent="0.25">
      <c r="B183" s="4">
        <v>1997</v>
      </c>
      <c r="C183" t="s">
        <v>676</v>
      </c>
      <c r="D183" s="8" t="s">
        <v>579</v>
      </c>
      <c r="F183" s="54" t="s">
        <v>518</v>
      </c>
      <c r="L183" s="51" t="s">
        <v>708</v>
      </c>
      <c r="M183" s="55">
        <f>IF(O183&gt;0,O183,DATE(YEAR+1,May,1+7*_2nd_weekday_occurrence)-WEEKDAY(DATE(YEAR+1,May,8-Saturday)))</f>
        <v>45787</v>
      </c>
    </row>
    <row r="184" spans="2:14" ht="15" customHeight="1" x14ac:dyDescent="0.25">
      <c r="B184" s="4">
        <v>400</v>
      </c>
      <c r="C184" t="s">
        <v>584</v>
      </c>
      <c r="D184" s="8" t="s">
        <v>579</v>
      </c>
      <c r="F184" s="42" t="s">
        <v>118</v>
      </c>
      <c r="G184" s="26"/>
      <c r="H184" s="26"/>
      <c r="I184" s="26"/>
      <c r="J184" s="26"/>
      <c r="K184" s="26"/>
      <c r="L184" s="51" t="s">
        <v>673</v>
      </c>
      <c r="M184" s="55">
        <f>IF(O184&gt;0,O184,DATE(YEAR+1,May,1+7*_2nd_weekday_occurrence)-WEEKDAY(DATE(YEAR+1,May,8-Monday)))</f>
        <v>45789</v>
      </c>
      <c r="N184" s="41"/>
    </row>
    <row r="185" spans="2:14" ht="15" customHeight="1" x14ac:dyDescent="0.25">
      <c r="B185" s="4">
        <v>22</v>
      </c>
      <c r="C185" t="s">
        <v>70</v>
      </c>
      <c r="D185" s="8" t="s">
        <v>579</v>
      </c>
      <c r="E185" s="8" t="s">
        <v>225</v>
      </c>
      <c r="F185" s="14" t="s">
        <v>441</v>
      </c>
      <c r="G185" s="26"/>
      <c r="H185" s="26"/>
      <c r="I185" s="26"/>
      <c r="J185" s="26"/>
      <c r="K185" s="26"/>
      <c r="L185" s="51" t="s">
        <v>708</v>
      </c>
      <c r="M185" s="55">
        <f>IF(O185&gt;0,O185,DATE(YEAR+1,May,1+7*_2nd_weekday_occurrence)-WEEKDAY(DATE(YEAR+1,May,8-Tuesday)))</f>
        <v>45790</v>
      </c>
      <c r="N185" s="41"/>
    </row>
    <row r="186" spans="2:14" ht="15" customHeight="1" x14ac:dyDescent="0.25">
      <c r="B186" s="4">
        <v>7</v>
      </c>
      <c r="C186" t="s">
        <v>42</v>
      </c>
      <c r="D186" s="8" t="s">
        <v>579</v>
      </c>
      <c r="F186" s="14" t="s">
        <v>438</v>
      </c>
      <c r="L186" t="s">
        <v>710</v>
      </c>
      <c r="M186" s="55">
        <f>IF(O186&gt;0,O186,DATE(YEAR+1,May,1+7*_3rd_weekday_occurrence)-WEEKDAY(DATE(YEAR+1,May,8-Thursday)))</f>
        <v>45792</v>
      </c>
      <c r="N186" s="41"/>
    </row>
    <row r="187" spans="2:14" ht="15" customHeight="1" x14ac:dyDescent="0.25">
      <c r="B187" s="4">
        <v>1889</v>
      </c>
      <c r="C187" t="s">
        <v>186</v>
      </c>
      <c r="D187" s="8" t="s">
        <v>579</v>
      </c>
      <c r="E187" s="8" t="s">
        <v>225</v>
      </c>
      <c r="F187" s="14" t="s">
        <v>510</v>
      </c>
      <c r="G187" s="26"/>
      <c r="H187" s="26"/>
      <c r="I187" s="26"/>
      <c r="J187" s="26"/>
      <c r="K187" s="26"/>
      <c r="L187" s="5" t="s">
        <v>672</v>
      </c>
      <c r="M187" s="55">
        <f>IF(O187&gt;0,O187,DATE(YEAR+1,May,1+7*_3rd_weekday_occurrence)-WEEKDAY(DATE(YEAR+1,May,8-Friday)))</f>
        <v>45793</v>
      </c>
      <c r="N187" s="41"/>
    </row>
    <row r="188" spans="2:14" ht="15" customHeight="1" x14ac:dyDescent="0.25">
      <c r="B188" s="4">
        <v>1604</v>
      </c>
      <c r="C188" t="s">
        <v>121</v>
      </c>
      <c r="D188" s="8" t="s">
        <v>579</v>
      </c>
      <c r="F188" s="42" t="s">
        <v>122</v>
      </c>
      <c r="G188" s="26"/>
      <c r="H188" s="26"/>
      <c r="I188" s="26"/>
      <c r="J188" s="26"/>
      <c r="K188" s="26"/>
      <c r="L188" s="26" t="s">
        <v>672</v>
      </c>
      <c r="M188" s="55">
        <f>IF(O188&gt;0,O188,DATE(YEAR+1,May,1+7*_3rd_weekday_occurrence)-WEEKDAY(DATE(YEAR+1,May,8-Saturday)))</f>
        <v>45794</v>
      </c>
      <c r="N188" s="43"/>
    </row>
    <row r="189" spans="2:14" ht="15" customHeight="1" x14ac:dyDescent="0.25">
      <c r="B189" s="4">
        <v>1984</v>
      </c>
      <c r="C189" t="s">
        <v>199</v>
      </c>
      <c r="D189" s="8" t="s">
        <v>579</v>
      </c>
      <c r="F189" s="14" t="s">
        <v>122</v>
      </c>
      <c r="G189" s="26"/>
      <c r="H189" s="26"/>
      <c r="I189" s="26"/>
      <c r="J189" s="26"/>
      <c r="K189" s="26"/>
      <c r="L189" s="51" t="s">
        <v>673</v>
      </c>
      <c r="M189" s="55">
        <f>IF(O189&gt;0,O189,DATE(YEAR+1,May,1+7*_3rd_weekday_occurrence)-WEEKDAY(DATE(YEAR+1,May,8-Saturday)))</f>
        <v>45794</v>
      </c>
      <c r="N189" s="43"/>
    </row>
    <row r="190" spans="2:14" ht="15" customHeight="1" x14ac:dyDescent="0.25">
      <c r="B190" s="4">
        <v>4</v>
      </c>
      <c r="C190" t="s">
        <v>123</v>
      </c>
      <c r="D190" s="8" t="s">
        <v>579</v>
      </c>
      <c r="F190" s="42" t="s">
        <v>124</v>
      </c>
      <c r="G190" s="42"/>
      <c r="H190" s="42"/>
      <c r="I190" s="42"/>
      <c r="J190" s="42"/>
      <c r="K190" s="42"/>
      <c r="L190" t="s">
        <v>708</v>
      </c>
      <c r="M190" s="55">
        <f>IF(O190&gt;0,O190,DATE(YEAR+1,May,1+7*_3rd_weekday_occurrence)-WEEKDAY(DATE(YEAR+1,May,8-Monday)))</f>
        <v>45796</v>
      </c>
      <c r="N190" s="41"/>
    </row>
    <row r="191" spans="2:14" ht="15" customHeight="1" x14ac:dyDescent="0.25">
      <c r="B191" s="4">
        <v>633</v>
      </c>
      <c r="C191" t="s">
        <v>176</v>
      </c>
      <c r="D191" s="8" t="s">
        <v>579</v>
      </c>
      <c r="E191" s="8" t="s">
        <v>225</v>
      </c>
      <c r="F191" s="15" t="s">
        <v>124</v>
      </c>
      <c r="G191" s="26"/>
      <c r="H191" s="26"/>
      <c r="I191" s="26"/>
      <c r="J191" s="26"/>
      <c r="K191" s="26"/>
      <c r="L191" t="s">
        <v>693</v>
      </c>
      <c r="M191" s="55">
        <f>IF(O191&gt;0,O191,DATE(YEAR+1,May,1+7*_3rd_weekday_occurrence)-WEEKDAY(DATE(YEAR+1,May,8-Monday)))</f>
        <v>45796</v>
      </c>
      <c r="N191" s="41"/>
    </row>
    <row r="192" spans="2:14" ht="15" customHeight="1" x14ac:dyDescent="0.25">
      <c r="B192" s="4">
        <v>489</v>
      </c>
      <c r="C192" t="s">
        <v>202</v>
      </c>
      <c r="D192" s="8" t="s">
        <v>579</v>
      </c>
      <c r="F192" s="15" t="s">
        <v>466</v>
      </c>
      <c r="G192" s="26"/>
      <c r="H192" s="26"/>
      <c r="I192" s="26"/>
      <c r="J192" s="26"/>
      <c r="K192" s="26"/>
      <c r="L192" t="s">
        <v>708</v>
      </c>
      <c r="M192" s="55">
        <f>IF(O192&gt;0,O192,DATE(YEAR+1,May,1+7*_3rd_weekday_occurrence)-WEEKDAY(DATE(YEAR+1,May,8-Wednesday)))</f>
        <v>45798</v>
      </c>
      <c r="N192" s="41"/>
    </row>
    <row r="193" spans="2:14" ht="15" customHeight="1" x14ac:dyDescent="0.25">
      <c r="B193" s="4">
        <v>1118</v>
      </c>
      <c r="C193" t="s">
        <v>210</v>
      </c>
      <c r="D193" s="8" t="s">
        <v>579</v>
      </c>
      <c r="F193" s="14" t="s">
        <v>491</v>
      </c>
      <c r="G193" s="26"/>
      <c r="H193" s="26"/>
      <c r="I193" s="26"/>
      <c r="J193" s="26"/>
      <c r="K193" s="26"/>
      <c r="L193" t="s">
        <v>709</v>
      </c>
      <c r="M193" s="55">
        <f>IF(O193&gt;0,O193,DATE(YEAR+1,May,1+7*_4th_weekday_occurrence)-WEEKDAY(DATE(YEAR+1,May,8-Thursday)))</f>
        <v>45799</v>
      </c>
      <c r="N193" s="41"/>
    </row>
    <row r="194" spans="2:14" ht="15" customHeight="1" x14ac:dyDescent="0.25">
      <c r="B194" s="4">
        <v>1228</v>
      </c>
      <c r="C194" t="s">
        <v>84</v>
      </c>
      <c r="D194" s="8" t="s">
        <v>579</v>
      </c>
      <c r="E194" s="8" t="s">
        <v>225</v>
      </c>
      <c r="F194" s="15" t="s">
        <v>491</v>
      </c>
      <c r="G194" s="26"/>
      <c r="H194" s="26"/>
      <c r="I194" s="26"/>
      <c r="J194" s="26"/>
      <c r="K194" s="26"/>
      <c r="L194" t="s">
        <v>710</v>
      </c>
      <c r="M194" s="55">
        <f>IF(O194&gt;0,O194,DATE(YEAR+1,May,1+7*_4th_weekday_occurrence)-WEEKDAY(DATE(YEAR+1,May,8-Thursday)))</f>
        <v>45799</v>
      </c>
      <c r="N194" s="41"/>
    </row>
    <row r="195" spans="2:14" ht="15" customHeight="1" x14ac:dyDescent="0.25">
      <c r="B195" s="4">
        <v>652</v>
      </c>
      <c r="C195" t="s">
        <v>587</v>
      </c>
      <c r="D195" s="8" t="s">
        <v>579</v>
      </c>
      <c r="F195" s="42" t="s">
        <v>128</v>
      </c>
      <c r="G195" s="26"/>
      <c r="H195" s="26"/>
      <c r="I195" s="26"/>
      <c r="J195" s="26"/>
      <c r="K195" s="26"/>
      <c r="L195" s="42" t="s">
        <v>709</v>
      </c>
      <c r="M195" s="55">
        <f>IF(O195&gt;0,O195,DATE(YEAR+1,May,1+7*_4th_weekday_occurrence)-WEEKDAY(DATE(YEAR+1,May,8-Tuesday)))</f>
        <v>45804</v>
      </c>
      <c r="N195" s="41"/>
    </row>
    <row r="196" spans="2:14" ht="15" customHeight="1" x14ac:dyDescent="0.25">
      <c r="B196" s="4">
        <v>897</v>
      </c>
      <c r="C196" t="s">
        <v>167</v>
      </c>
      <c r="D196" s="8" t="s">
        <v>579</v>
      </c>
      <c r="F196" s="14" t="s">
        <v>128</v>
      </c>
      <c r="G196" s="26"/>
      <c r="H196" s="26"/>
      <c r="I196" s="26"/>
      <c r="J196" s="26"/>
      <c r="K196" s="26"/>
      <c r="L196" s="5" t="s">
        <v>710</v>
      </c>
      <c r="M196" s="55">
        <f>IF(O196&gt;0,O196,DATE(YEAR+1,May,1+7*_4th_weekday_occurrence)-WEEKDAY(DATE(YEAR+1,May,8-Tuesday)))</f>
        <v>45804</v>
      </c>
      <c r="N196" s="41"/>
    </row>
    <row r="197" spans="2:14" ht="15" customHeight="1" x14ac:dyDescent="0.25">
      <c r="B197" s="4">
        <v>1091</v>
      </c>
      <c r="C197" t="s">
        <v>55</v>
      </c>
      <c r="D197" s="8" t="s">
        <v>579</v>
      </c>
      <c r="F197" s="15" t="s">
        <v>128</v>
      </c>
      <c r="G197" s="26"/>
      <c r="H197" s="26"/>
      <c r="I197" s="26"/>
      <c r="J197" s="26"/>
      <c r="K197" s="26"/>
      <c r="L197" s="42" t="s">
        <v>710</v>
      </c>
      <c r="M197" s="55">
        <f>IF(O197&gt;0,O197,DATE(YEAR+1,May,1+7*_4th_weekday_occurrence)-WEEKDAY(DATE(YEAR+1,May,8-Tuesday)))</f>
        <v>45804</v>
      </c>
      <c r="N197" s="41"/>
    </row>
    <row r="198" spans="2:14" ht="15" customHeight="1" x14ac:dyDescent="0.25">
      <c r="B198" s="4">
        <v>1124</v>
      </c>
      <c r="C198" t="s">
        <v>74</v>
      </c>
      <c r="D198" s="8" t="s">
        <v>579</v>
      </c>
      <c r="F198" s="15" t="s">
        <v>492</v>
      </c>
      <c r="G198" s="26"/>
      <c r="H198" s="26"/>
      <c r="I198" s="26"/>
      <c r="J198" s="26"/>
      <c r="K198" s="26"/>
      <c r="L198" s="5" t="s">
        <v>710</v>
      </c>
      <c r="M198" s="55">
        <f>IF(O198&gt;0,O198,DATE(YEAR+1,May,1+7*_4th_weekday_occurrence)-WEEKDAY(DATE(YEAR+1,May,8-Wednesday)))</f>
        <v>45805</v>
      </c>
      <c r="N198" s="41"/>
    </row>
    <row r="199" spans="2:14" ht="15" customHeight="1" x14ac:dyDescent="0.25">
      <c r="B199" s="4">
        <v>791</v>
      </c>
      <c r="C199" t="s">
        <v>129</v>
      </c>
      <c r="D199" s="8" t="s">
        <v>579</v>
      </c>
      <c r="F199" s="42" t="s">
        <v>130</v>
      </c>
      <c r="G199" s="26"/>
      <c r="H199" s="26"/>
      <c r="I199" s="26"/>
      <c r="J199" s="26"/>
      <c r="K199" s="26"/>
      <c r="L199" t="s">
        <v>709</v>
      </c>
      <c r="M199" s="55">
        <f>IF(O199&gt;0,O199,DATE(YEAR+1,June,1+7*_1st_weekday_occurrence)-WEEKDAY(DATE(YEAR+1,June,8-Wednesday)))</f>
        <v>45812</v>
      </c>
      <c r="N199" s="41"/>
    </row>
    <row r="200" spans="2:14" ht="15" customHeight="1" x14ac:dyDescent="0.25">
      <c r="B200" s="4">
        <v>1748</v>
      </c>
      <c r="C200" t="s">
        <v>23</v>
      </c>
      <c r="D200" s="8" t="s">
        <v>579</v>
      </c>
      <c r="E200" s="8" t="s">
        <v>225</v>
      </c>
      <c r="F200" s="15" t="s">
        <v>130</v>
      </c>
      <c r="G200" s="26"/>
      <c r="H200" s="26"/>
      <c r="I200" s="26"/>
      <c r="J200" s="26"/>
      <c r="K200" s="26"/>
      <c r="L200" s="42" t="s">
        <v>709</v>
      </c>
      <c r="M200" s="55">
        <f>IF(O200&gt;0,O200,DATE(YEAR+1,June,1+7*_1st_weekday_occurrence)-WEEKDAY(DATE(YEAR+1,June,8-Wednesday)))</f>
        <v>45812</v>
      </c>
      <c r="N200" s="41"/>
    </row>
    <row r="201" spans="2:14" ht="15" customHeight="1" x14ac:dyDescent="0.25">
      <c r="B201" s="4">
        <v>1200</v>
      </c>
      <c r="C201" t="s">
        <v>131</v>
      </c>
      <c r="D201" s="8" t="s">
        <v>579</v>
      </c>
      <c r="F201" s="42" t="s">
        <v>132</v>
      </c>
      <c r="G201" s="26"/>
      <c r="H201" s="26"/>
      <c r="I201" s="26"/>
      <c r="J201" s="26"/>
      <c r="K201" s="26"/>
      <c r="L201" s="42" t="s">
        <v>710</v>
      </c>
      <c r="M201" s="55">
        <f>IF(O201&gt;0,O201,DATE(YEAR+1,June,1+7*_2nd_weekday_occurrence)-WEEKDAY(DATE(YEAR+1,June,8-Monday)))</f>
        <v>45817</v>
      </c>
      <c r="N201" s="41"/>
    </row>
    <row r="202" spans="2:14" ht="15" customHeight="1" x14ac:dyDescent="0.25">
      <c r="B202" s="4">
        <v>1467</v>
      </c>
      <c r="C202" t="s">
        <v>190</v>
      </c>
      <c r="D202" s="8" t="s">
        <v>579</v>
      </c>
      <c r="F202" s="15" t="s">
        <v>132</v>
      </c>
      <c r="G202" s="26"/>
      <c r="H202" s="26"/>
      <c r="I202" s="26"/>
      <c r="J202" s="26"/>
      <c r="K202" s="26"/>
      <c r="L202" s="51" t="s">
        <v>673</v>
      </c>
      <c r="M202" s="55">
        <f>IF(O202&gt;0,O202,DATE(YEAR+1,June,1+7*_2nd_weekday_occurrence)-WEEKDAY(DATE(YEAR+1,June,8-Monday)))</f>
        <v>45817</v>
      </c>
      <c r="N202" s="41"/>
    </row>
    <row r="203" spans="2:14" ht="15" customHeight="1" x14ac:dyDescent="0.25">
      <c r="B203" s="4">
        <v>1473</v>
      </c>
      <c r="C203" t="s">
        <v>101</v>
      </c>
      <c r="D203" s="8" t="s">
        <v>579</v>
      </c>
      <c r="E203" s="8" t="s">
        <v>225</v>
      </c>
      <c r="F203" s="15" t="s">
        <v>502</v>
      </c>
      <c r="G203" s="26"/>
      <c r="H203" s="26"/>
      <c r="I203" s="26"/>
      <c r="J203" s="26"/>
      <c r="K203" s="26"/>
      <c r="L203" s="26" t="s">
        <v>672</v>
      </c>
      <c r="M203" s="55">
        <f>IF(O203&gt;0,O203,DATE(YEAR+1,June,1+7*_2nd_weekday_occurrence)-WEEKDAY(DATE(YEAR+1,June,8-Wednesday)))</f>
        <v>45819</v>
      </c>
      <c r="N203" s="41"/>
    </row>
    <row r="204" spans="2:14" ht="15" customHeight="1" x14ac:dyDescent="0.25">
      <c r="B204" s="4">
        <v>1160</v>
      </c>
      <c r="C204" t="s">
        <v>78</v>
      </c>
      <c r="D204" s="8" t="s">
        <v>579</v>
      </c>
      <c r="E204" s="8" t="s">
        <v>225</v>
      </c>
      <c r="F204" s="15" t="s">
        <v>494</v>
      </c>
      <c r="G204" s="26"/>
      <c r="H204" s="26"/>
      <c r="I204" s="26"/>
      <c r="J204" s="26"/>
      <c r="K204" s="26"/>
      <c r="L204" t="s">
        <v>693</v>
      </c>
      <c r="M204" s="55">
        <f>IF(O204&gt;0,O204,DATE(YEAR+1,June,1+7*_2nd_weekday_occurrence)-WEEKDAY(DATE(YEAR+1,June,8-Thursday)))</f>
        <v>45820</v>
      </c>
      <c r="N204" s="41"/>
    </row>
    <row r="205" spans="2:14" ht="15" customHeight="1" x14ac:dyDescent="0.25">
      <c r="B205" s="4">
        <v>1457</v>
      </c>
      <c r="C205" t="s">
        <v>161</v>
      </c>
      <c r="D205" s="8" t="s">
        <v>579</v>
      </c>
      <c r="F205" s="15" t="s">
        <v>501</v>
      </c>
      <c r="G205" s="26"/>
      <c r="H205" s="26"/>
      <c r="I205" s="26"/>
      <c r="J205" s="26"/>
      <c r="K205" s="26"/>
      <c r="L205" t="s">
        <v>693</v>
      </c>
      <c r="M205" s="55">
        <f>IF(O205&gt;0,O205,DATE(YEAR+1,June,1+7*_2nd_weekday_occurrence)-WEEKDAY(DATE(YEAR+1,June,8-Friday)))</f>
        <v>45821</v>
      </c>
      <c r="N205" s="41"/>
    </row>
    <row r="206" spans="2:14" ht="15" customHeight="1" x14ac:dyDescent="0.25">
      <c r="B206" s="4">
        <v>616</v>
      </c>
      <c r="C206" t="s">
        <v>42</v>
      </c>
      <c r="D206" s="8" t="s">
        <v>579</v>
      </c>
      <c r="F206" s="15" t="s">
        <v>468</v>
      </c>
      <c r="G206" s="26"/>
      <c r="H206" s="26"/>
      <c r="I206" s="26"/>
      <c r="J206" s="26"/>
      <c r="K206" s="26"/>
      <c r="L206" s="51" t="s">
        <v>673</v>
      </c>
      <c r="M206" s="55">
        <f>IF(O206&gt;0,O206,DATE(YEAR+1,June,1+7*_2nd_weekday_occurrence)-WEEKDAY(DATE(YEAR+1,June,8-Saturday)))</f>
        <v>45822</v>
      </c>
      <c r="N206" s="41"/>
    </row>
    <row r="207" spans="2:14" ht="15" customHeight="1" x14ac:dyDescent="0.25">
      <c r="B207" s="4">
        <v>1</v>
      </c>
      <c r="C207" t="s">
        <v>578</v>
      </c>
      <c r="D207" s="8" t="s">
        <v>579</v>
      </c>
      <c r="E207" s="8" t="s">
        <v>225</v>
      </c>
      <c r="F207" s="14" t="s">
        <v>136</v>
      </c>
      <c r="L207" s="42" t="s">
        <v>709</v>
      </c>
      <c r="M207" s="55">
        <f>IF(O207&gt;0,O207,DATE(YEAR+1,June,1+7*_3rd_weekday_occurrence)-WEEKDAY(DATE(YEAR+1,June,8-Monday)))</f>
        <v>45824</v>
      </c>
      <c r="N207" s="41"/>
    </row>
    <row r="208" spans="2:14" ht="15" customHeight="1" x14ac:dyDescent="0.25">
      <c r="B208" s="4">
        <v>454</v>
      </c>
      <c r="C208" t="s">
        <v>135</v>
      </c>
      <c r="D208" s="8" t="s">
        <v>579</v>
      </c>
      <c r="F208" s="42" t="s">
        <v>136</v>
      </c>
      <c r="G208" s="26"/>
      <c r="H208" s="26"/>
      <c r="I208" s="26"/>
      <c r="J208" s="26"/>
      <c r="K208" s="26"/>
      <c r="L208" s="51" t="s">
        <v>673</v>
      </c>
      <c r="M208" s="55">
        <f>IF(O208&gt;0,O208,DATE(YEAR+1,June,1+7*_3rd_weekday_occurrence)-WEEKDAY(DATE(YEAR+1,June,8-Monday)))</f>
        <v>45824</v>
      </c>
      <c r="N208" s="41"/>
    </row>
    <row r="209" spans="2:14" ht="15" customHeight="1" x14ac:dyDescent="0.25">
      <c r="B209" s="4">
        <v>459</v>
      </c>
      <c r="C209" t="s">
        <v>137</v>
      </c>
      <c r="D209" s="8" t="s">
        <v>579</v>
      </c>
      <c r="F209" s="42" t="s">
        <v>136</v>
      </c>
      <c r="G209" s="26"/>
      <c r="H209" s="26"/>
      <c r="I209" s="26"/>
      <c r="J209" s="26"/>
      <c r="K209" s="26"/>
      <c r="L209" s="42" t="s">
        <v>672</v>
      </c>
      <c r="M209" s="55">
        <f>IF(O209&gt;0,O209,DATE(YEAR+1,June,1+7*_3rd_weekday_occurrence)-WEEKDAY(DATE(YEAR+1,June,8-Monday)))</f>
        <v>45824</v>
      </c>
      <c r="N209" s="41"/>
    </row>
    <row r="210" spans="2:14" x14ac:dyDescent="0.25">
      <c r="B210" s="4">
        <v>1071</v>
      </c>
      <c r="C210" t="s">
        <v>141</v>
      </c>
      <c r="D210" s="8" t="s">
        <v>579</v>
      </c>
      <c r="E210" s="8" t="s">
        <v>225</v>
      </c>
      <c r="F210" s="42" t="s">
        <v>140</v>
      </c>
      <c r="G210" s="26"/>
      <c r="H210" s="26"/>
      <c r="I210" s="26"/>
      <c r="J210" s="26"/>
      <c r="K210" s="26"/>
      <c r="L210" t="s">
        <v>710</v>
      </c>
      <c r="M210" s="55">
        <f>IF(O210&gt;0,O210,DATE(YEAR+1,June,1+7*_3rd_weekday_occurrence)-WEEKDAY(DATE(YEAR+1,June,8-Tuesday)))</f>
        <v>45825</v>
      </c>
      <c r="N210" s="41"/>
    </row>
    <row r="211" spans="2:14" x14ac:dyDescent="0.25">
      <c r="B211" s="4">
        <v>1152</v>
      </c>
      <c r="C211" t="s">
        <v>155</v>
      </c>
      <c r="D211" s="8" t="s">
        <v>579</v>
      </c>
      <c r="F211" s="15" t="s">
        <v>484</v>
      </c>
      <c r="G211" s="26"/>
      <c r="H211" s="26"/>
      <c r="I211" s="26"/>
      <c r="J211" s="26"/>
      <c r="K211" s="26"/>
      <c r="L211" s="5" t="s">
        <v>672</v>
      </c>
      <c r="M211" s="55">
        <f>IF(O211&gt;0,O211,DATE(YEAR+1,June,1+7*_3rd_weekday_occurrence)-WEEKDAY(DATE(YEAR+1,June,8-Wednesday)))</f>
        <v>45826</v>
      </c>
      <c r="N211" s="41"/>
    </row>
    <row r="212" spans="2:14" x14ac:dyDescent="0.25">
      <c r="B212" s="4">
        <v>239</v>
      </c>
      <c r="C212" t="s">
        <v>12</v>
      </c>
      <c r="D212" s="8" t="s">
        <v>579</v>
      </c>
      <c r="E212" s="8" t="s">
        <v>225</v>
      </c>
      <c r="F212" s="15" t="s">
        <v>453</v>
      </c>
      <c r="G212" s="26"/>
      <c r="H212" s="26"/>
      <c r="I212" s="26"/>
      <c r="J212" s="26"/>
      <c r="K212" s="26"/>
      <c r="L212" s="51" t="s">
        <v>673</v>
      </c>
      <c r="M212" s="44">
        <f>IF(O212&gt;0,O212,DATE(YEAR+1,June,1+7*_3rd_weekday_occurrence)-WEEKDAY(DATE(YEAR+1,June,8-Thursday)))</f>
        <v>45827</v>
      </c>
      <c r="N212" s="41"/>
    </row>
    <row r="213" spans="2:14" x14ac:dyDescent="0.25">
      <c r="B213" s="4">
        <v>828</v>
      </c>
      <c r="C213" t="s">
        <v>111</v>
      </c>
      <c r="D213" s="8" t="s">
        <v>579</v>
      </c>
      <c r="E213" s="8" t="s">
        <v>225</v>
      </c>
      <c r="F213" s="42" t="s">
        <v>453</v>
      </c>
      <c r="G213" s="26"/>
      <c r="H213" s="26"/>
      <c r="I213" s="26"/>
      <c r="J213" s="26"/>
      <c r="K213" s="26"/>
      <c r="L213" t="s">
        <v>709</v>
      </c>
      <c r="M213" s="55">
        <f>IF(O213&gt;0,O213,DATE(YEAR+1,June,1+7*_3rd_weekday_occurrence)-WEEKDAY(DATE(YEAR+1,June,8-Thursday)))</f>
        <v>45827</v>
      </c>
      <c r="N213" s="41"/>
    </row>
    <row r="214" spans="2:14" x14ac:dyDescent="0.25">
      <c r="B214" s="4">
        <v>728</v>
      </c>
      <c r="C214" t="s">
        <v>86</v>
      </c>
      <c r="D214" s="8" t="s">
        <v>579</v>
      </c>
      <c r="F214" s="15" t="s">
        <v>473</v>
      </c>
      <c r="G214" s="26"/>
      <c r="H214" s="26"/>
      <c r="I214" s="26"/>
      <c r="J214" s="26"/>
      <c r="K214" s="26"/>
      <c r="L214" t="s">
        <v>708</v>
      </c>
      <c r="M214" s="55">
        <f>IF(O214&gt;0,O214,DATE(YEAR+1,June,1+7*_3rd_weekday_occurrence)-WEEKDAY(DATE(YEAR+1,June,8-Friday)))</f>
        <v>45828</v>
      </c>
      <c r="N214" s="41"/>
    </row>
    <row r="215" spans="2:14" x14ac:dyDescent="0.25">
      <c r="B215" s="4">
        <v>997</v>
      </c>
      <c r="C215" t="s">
        <v>88</v>
      </c>
      <c r="D215" s="8" t="s">
        <v>579</v>
      </c>
      <c r="F215" s="42" t="s">
        <v>473</v>
      </c>
      <c r="G215" s="26"/>
      <c r="H215" s="26"/>
      <c r="I215" s="26"/>
      <c r="J215" s="26"/>
      <c r="K215" s="26"/>
      <c r="L215" t="s">
        <v>710</v>
      </c>
      <c r="M215" s="55">
        <f>IF(O215&gt;0,O215,DATE(YEAR+1,June,1+7*_3rd_weekday_occurrence)-WEEKDAY(DATE(YEAR+1,June,8-Friday)))</f>
        <v>45828</v>
      </c>
      <c r="N215" s="41"/>
    </row>
    <row r="216" spans="2:14" x14ac:dyDescent="0.25">
      <c r="B216" s="4">
        <v>1989</v>
      </c>
      <c r="C216" t="s">
        <v>113</v>
      </c>
      <c r="D216" s="8" t="s">
        <v>579</v>
      </c>
      <c r="F216" s="42" t="s">
        <v>473</v>
      </c>
      <c r="G216" s="26"/>
      <c r="H216" s="26"/>
      <c r="I216" s="26"/>
      <c r="J216" s="26"/>
      <c r="K216" s="26"/>
      <c r="L216" s="51" t="s">
        <v>693</v>
      </c>
      <c r="M216" s="55">
        <f>IF(O216&gt;0,O216,DATE(YEAR+1,June,1+7*_3rd_weekday_occurrence)-WEEKDAY(DATE(YEAR+1,June,8-Friday)))</f>
        <v>45828</v>
      </c>
    </row>
    <row r="217" spans="2:14" x14ac:dyDescent="0.25">
      <c r="B217" s="4">
        <v>176</v>
      </c>
      <c r="C217" t="s">
        <v>188</v>
      </c>
      <c r="D217" s="8" t="s">
        <v>579</v>
      </c>
      <c r="F217" s="14" t="s">
        <v>446</v>
      </c>
      <c r="G217" s="26"/>
      <c r="H217" s="26"/>
      <c r="I217" s="26"/>
      <c r="J217" s="26"/>
      <c r="K217" s="26"/>
      <c r="L217" s="5" t="s">
        <v>709</v>
      </c>
      <c r="M217" s="55">
        <f>IF(O217&gt;0,O217,DATE(YEAR+1,June,1+7*_3rd_weekday_occurrence)-WEEKDAY(DATE(YEAR+1,June,8-Saturday)))</f>
        <v>45829</v>
      </c>
      <c r="N217" s="41"/>
    </row>
    <row r="218" spans="2:14" x14ac:dyDescent="0.25">
      <c r="B218" s="4">
        <v>411</v>
      </c>
      <c r="C218" t="s">
        <v>69</v>
      </c>
      <c r="D218" s="8" t="s">
        <v>579</v>
      </c>
      <c r="E218" s="8" t="s">
        <v>225</v>
      </c>
      <c r="F218" s="15" t="s">
        <v>143</v>
      </c>
      <c r="G218" s="26"/>
      <c r="H218" s="26"/>
      <c r="I218" s="26"/>
      <c r="J218" s="26"/>
      <c r="K218" s="26"/>
      <c r="L218" s="42" t="s">
        <v>709</v>
      </c>
      <c r="M218" s="55">
        <f>IF(O218&gt;0,O218,DATE(YEAR+1,June,1+7*_4th_weekday_occurrence)-WEEKDAY(DATE(YEAR+1,June,8-Monday)))</f>
        <v>45831</v>
      </c>
      <c r="N218" s="41"/>
    </row>
    <row r="219" spans="2:14" x14ac:dyDescent="0.25">
      <c r="B219" s="4">
        <v>786</v>
      </c>
      <c r="C219" t="s">
        <v>142</v>
      </c>
      <c r="D219" s="8" t="s">
        <v>579</v>
      </c>
      <c r="F219" s="42" t="s">
        <v>143</v>
      </c>
      <c r="G219" s="26"/>
      <c r="H219" s="26"/>
      <c r="I219" s="26"/>
      <c r="J219" s="26"/>
      <c r="K219" s="26"/>
      <c r="L219" t="s">
        <v>693</v>
      </c>
      <c r="M219" s="55">
        <f>IF(O219&gt;0,O219,DATE(YEAR+1,June,1+7*_4th_weekday_occurrence)-WEEKDAY(DATE(YEAR+1,June,8-Monday)))</f>
        <v>45831</v>
      </c>
      <c r="N219" s="41"/>
    </row>
    <row r="220" spans="2:14" x14ac:dyDescent="0.25">
      <c r="B220" s="4">
        <v>418</v>
      </c>
      <c r="C220" t="s">
        <v>91</v>
      </c>
      <c r="D220" s="8" t="s">
        <v>579</v>
      </c>
      <c r="F220" s="15" t="s">
        <v>717</v>
      </c>
      <c r="L220" s="51" t="s">
        <v>709</v>
      </c>
      <c r="M220" s="55">
        <f>IF(O220&gt;0,O220,DATE(YEAR+1,June,1+7*_4th_weekday_occurrence)-WEEKDAY(DATE(YEAR+1,June,8-Tuesday)))</f>
        <v>45832</v>
      </c>
    </row>
    <row r="221" spans="2:14" x14ac:dyDescent="0.25">
      <c r="B221" s="4">
        <v>801</v>
      </c>
      <c r="C221" t="s">
        <v>6</v>
      </c>
      <c r="D221" s="8" t="s">
        <v>579</v>
      </c>
      <c r="F221" s="15" t="s">
        <v>145</v>
      </c>
      <c r="G221" s="26"/>
      <c r="H221" s="26"/>
      <c r="I221" s="26"/>
      <c r="J221" s="26"/>
      <c r="K221" s="26"/>
      <c r="L221" s="42" t="s">
        <v>708</v>
      </c>
      <c r="M221" s="55">
        <f>IF(O221&gt;0,O221,DATE(YEAR+1,June,1+7*_4th_weekday_occurrence)-WEEKDAY(DATE(YEAR+1,June,8-Tuesday)))</f>
        <v>45832</v>
      </c>
      <c r="N221" s="41"/>
    </row>
    <row r="222" spans="2:14" x14ac:dyDescent="0.25">
      <c r="B222" s="4">
        <v>2003</v>
      </c>
      <c r="C222" t="s">
        <v>681</v>
      </c>
      <c r="D222" s="8" t="s">
        <v>579</v>
      </c>
      <c r="F222" s="54" t="s">
        <v>145</v>
      </c>
      <c r="L222" s="51" t="s">
        <v>672</v>
      </c>
      <c r="M222" s="55">
        <f>IF(O222&gt;0,O222,DATE(YEAR+1,June,1+7*_4th_weekday_occurrence)-WEEKDAY(DATE(YEAR+1,June,8-Tuesday)))</f>
        <v>45832</v>
      </c>
    </row>
    <row r="223" spans="2:14" x14ac:dyDescent="0.25">
      <c r="B223" s="4">
        <v>238</v>
      </c>
      <c r="C223" t="s">
        <v>146</v>
      </c>
      <c r="D223" s="8" t="s">
        <v>579</v>
      </c>
      <c r="F223" s="42" t="s">
        <v>147</v>
      </c>
      <c r="G223" s="26"/>
      <c r="H223" s="26"/>
      <c r="I223" s="26"/>
      <c r="J223" s="26"/>
      <c r="K223" s="26"/>
      <c r="L223" t="s">
        <v>708</v>
      </c>
      <c r="M223" s="44">
        <f>IF(O223&gt;0,O223,DATE(YEAR+1,June,1+7*_4th_weekday_occurrence)-WEEKDAY(DATE(YEAR+1,June,8-Wednesday)))</f>
        <v>45833</v>
      </c>
      <c r="N223" s="41"/>
    </row>
    <row r="224" spans="2:14" x14ac:dyDescent="0.25">
      <c r="B224" s="4">
        <v>1638</v>
      </c>
      <c r="C224" t="s">
        <v>75</v>
      </c>
      <c r="D224" s="8" t="s">
        <v>579</v>
      </c>
      <c r="E224" s="8" t="s">
        <v>225</v>
      </c>
      <c r="F224" s="15" t="s">
        <v>147</v>
      </c>
      <c r="G224" s="26"/>
      <c r="H224" s="26"/>
      <c r="I224" s="26"/>
      <c r="J224" s="26"/>
      <c r="K224" s="26"/>
      <c r="L224" t="s">
        <v>672</v>
      </c>
      <c r="M224" s="44">
        <f>IF(O224&gt;0,O224,DATE(YEAR+1,June,1+7*_4th_weekday_occurrence)-WEEKDAY(DATE(YEAR+1,June,8-Wednesday)))</f>
        <v>45833</v>
      </c>
      <c r="N224" s="41"/>
    </row>
    <row r="225" spans="2:14" x14ac:dyDescent="0.25">
      <c r="B225" s="4">
        <v>1895</v>
      </c>
      <c r="C225" t="s">
        <v>184</v>
      </c>
      <c r="D225" s="8" t="s">
        <v>579</v>
      </c>
      <c r="F225" s="15" t="s">
        <v>668</v>
      </c>
      <c r="G225" s="26"/>
      <c r="H225" s="26"/>
      <c r="I225" s="26"/>
      <c r="J225" s="26"/>
      <c r="K225" s="26"/>
      <c r="L225" s="26" t="s">
        <v>672</v>
      </c>
      <c r="M225" s="55">
        <f>IF(O225&gt;0,O225,DATE(YEAR+1,June,1+7*_4th_weekday_occurrence)-WEEKDAY(DATE(YEAR+1,June,8-Thursday)))</f>
        <v>45834</v>
      </c>
      <c r="N225" s="41"/>
    </row>
    <row r="226" spans="2:14" x14ac:dyDescent="0.25">
      <c r="B226" s="4">
        <v>1909</v>
      </c>
      <c r="C226" t="s">
        <v>102</v>
      </c>
      <c r="D226" s="8" t="s">
        <v>579</v>
      </c>
      <c r="E226" s="8" t="s">
        <v>225</v>
      </c>
      <c r="F226" s="15" t="s">
        <v>513</v>
      </c>
      <c r="G226" s="26"/>
      <c r="H226" s="26"/>
      <c r="I226" s="26"/>
      <c r="J226" s="26"/>
      <c r="K226" s="26"/>
      <c r="L226" s="5" t="s">
        <v>710</v>
      </c>
      <c r="M226" s="55">
        <f>IF(O226&gt;0,O226,DATE(YEAR+1,June,1+7*_4th_weekday_occurrence)-WEEKDAY(DATE(YEAR+1,June,8-Saturday)))</f>
        <v>45836</v>
      </c>
      <c r="N226" s="41"/>
    </row>
    <row r="227" spans="2:14" x14ac:dyDescent="0.25">
      <c r="B227" s="4">
        <v>361</v>
      </c>
      <c r="C227" t="s">
        <v>208</v>
      </c>
      <c r="D227" s="8" t="s">
        <v>579</v>
      </c>
      <c r="F227" s="14" t="s">
        <v>456</v>
      </c>
      <c r="G227" s="26"/>
      <c r="H227" s="26"/>
      <c r="I227" s="26"/>
      <c r="J227" s="26"/>
      <c r="K227" s="26"/>
      <c r="L227" s="51" t="s">
        <v>673</v>
      </c>
      <c r="M227" s="44">
        <f>IF(O227&gt;0,O227,DATE(YEAR+1,July,1+7*_1st_weekday_occurrence)-WEEKDAY(DATE(YEAR+1,July,8-Tuesday)))</f>
        <v>45839</v>
      </c>
      <c r="N227" s="41"/>
    </row>
    <row r="228" spans="2:14" x14ac:dyDescent="0.25">
      <c r="B228" s="4">
        <v>1105</v>
      </c>
      <c r="C228" t="s">
        <v>119</v>
      </c>
      <c r="D228" s="8" t="s">
        <v>579</v>
      </c>
      <c r="F228" s="42" t="s">
        <v>149</v>
      </c>
      <c r="G228" s="26"/>
      <c r="H228" s="26"/>
      <c r="I228" s="26"/>
      <c r="J228" s="26"/>
      <c r="K228" s="26"/>
      <c r="L228" s="42" t="s">
        <v>709</v>
      </c>
      <c r="M228" s="55">
        <f>IF(O228&gt;0,O228,DATE(YEAR+1,July,1+7*_1st_weekday_occurrence)-WEEKDAY(DATE(YEAR+1,July,8-Saturday)))</f>
        <v>45843</v>
      </c>
      <c r="N228" s="41"/>
    </row>
    <row r="229" spans="2:14" x14ac:dyDescent="0.25">
      <c r="B229" s="4">
        <v>1313</v>
      </c>
      <c r="C229" t="s">
        <v>152</v>
      </c>
      <c r="D229" s="8" t="s">
        <v>579</v>
      </c>
      <c r="F229" s="42" t="s">
        <v>151</v>
      </c>
      <c r="G229" s="26"/>
      <c r="H229" s="26"/>
      <c r="I229" s="26"/>
      <c r="J229" s="26"/>
      <c r="K229" s="26"/>
      <c r="L229" s="26" t="s">
        <v>672</v>
      </c>
      <c r="M229" s="55">
        <f>IF(O229&gt;0,O229,DATE(YEAR+1,July,1+7*_1st_weekday_occurrence)-WEEKDAY(DATE(YEAR+1,July,8-Monday)))</f>
        <v>45845</v>
      </c>
      <c r="N229" s="41"/>
    </row>
    <row r="230" spans="2:14" ht="15" customHeight="1" x14ac:dyDescent="0.25">
      <c r="B230" s="4">
        <v>748</v>
      </c>
      <c r="C230" t="s">
        <v>153</v>
      </c>
      <c r="D230" s="8" t="s">
        <v>579</v>
      </c>
      <c r="F230" s="42" t="s">
        <v>154</v>
      </c>
      <c r="G230" s="26"/>
      <c r="H230" s="26"/>
      <c r="I230" s="26"/>
      <c r="J230" s="26"/>
      <c r="K230" s="26"/>
      <c r="L230" s="42" t="s">
        <v>673</v>
      </c>
      <c r="M230" s="55">
        <f>IF(O230&gt;0,O230,DATE(YEAR+1,July,1+7*_2nd_weekday_occurrence)-WEEKDAY(DATE(YEAR+1,July,8-Wednesday)))</f>
        <v>45847</v>
      </c>
      <c r="N230" s="41"/>
    </row>
    <row r="231" spans="2:14" x14ac:dyDescent="0.25">
      <c r="B231" s="4">
        <v>399</v>
      </c>
      <c r="C231" t="s">
        <v>18</v>
      </c>
      <c r="D231" s="8" t="s">
        <v>579</v>
      </c>
      <c r="F231" s="15" t="s">
        <v>583</v>
      </c>
      <c r="G231" s="26"/>
      <c r="H231" s="26"/>
      <c r="I231" s="26"/>
      <c r="J231" s="26"/>
      <c r="K231" s="26"/>
      <c r="L231" s="26" t="s">
        <v>672</v>
      </c>
      <c r="M231" s="55">
        <f>IF(O231&gt;0,O231,DATE(YEAR+1,July,1+7*_3rd_weekday_occurrence)-WEEKDAY(DATE(YEAR+1,July,8-Thursday)))</f>
        <v>45855</v>
      </c>
      <c r="N231" s="41"/>
    </row>
  </sheetData>
  <autoFilter ref="A1:P230" xr:uid="{580BB9A7-3EF1-4D4A-93F1-DD99F0DC73ED}"/>
  <sortState xmlns:xlrd2="http://schemas.microsoft.com/office/spreadsheetml/2017/richdata2" ref="A2:P231">
    <sortCondition ref="M2:M231"/>
    <sortCondition ref="B2:B231"/>
  </sortState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1127DA-AFE8-44AA-85A6-FF696F123E12}">
            <xm:f>'Change Year'!$A$5-1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666E876B-592E-45B1-B553-C8F026E2E44A}">
            <xm:f>'Change Year'!$A$5+1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950768-7B8E-4340-972C-9E9E646D4DD0}">
            <xm:f>'Change Year'!$A$5</xm:f>
            <x14:dxf>
              <fill>
                <patternFill>
                  <bgColor rgb="FFFF0000"/>
                </patternFill>
              </fill>
            </x14:dxf>
          </x14:cfRule>
          <xm:sqref>M2:M300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B3F2-EF3A-4190-97E2-D42B30C7F722}">
  <dimension ref="A2:K19"/>
  <sheetViews>
    <sheetView workbookViewId="0">
      <selection activeCell="B23" sqref="B23"/>
    </sheetView>
  </sheetViews>
  <sheetFormatPr defaultRowHeight="15.75" x14ac:dyDescent="0.25"/>
  <cols>
    <col min="1" max="1" width="27.5" customWidth="1"/>
    <col min="2" max="2" width="11.875" customWidth="1"/>
    <col min="3" max="3" width="4.5" customWidth="1"/>
    <col min="4" max="4" width="22.25" customWidth="1"/>
    <col min="5" max="5" width="21.5" customWidth="1"/>
    <col min="6" max="6" width="4.875" customWidth="1"/>
    <col min="7" max="7" width="10.5" customWidth="1"/>
    <col min="9" max="9" width="4.25" customWidth="1"/>
    <col min="10" max="10" width="10.125" customWidth="1"/>
  </cols>
  <sheetData>
    <row r="2" spans="1:11" x14ac:dyDescent="0.25">
      <c r="A2" s="27" t="s">
        <v>577</v>
      </c>
      <c r="B2" s="28"/>
      <c r="D2" s="50" t="s">
        <v>638</v>
      </c>
    </row>
    <row r="3" spans="1:11" ht="16.5" thickBot="1" x14ac:dyDescent="0.3">
      <c r="A3" s="28" t="s">
        <v>535</v>
      </c>
      <c r="B3" s="28"/>
      <c r="D3" s="6"/>
    </row>
    <row r="4" spans="1:11" ht="17.25" thickTop="1" thickBot="1" x14ac:dyDescent="0.3">
      <c r="A4" s="29">
        <v>2024</v>
      </c>
      <c r="B4" s="30" t="s">
        <v>8</v>
      </c>
      <c r="D4" s="26"/>
      <c r="E4" s="26" t="s">
        <v>9</v>
      </c>
      <c r="F4" s="26"/>
      <c r="G4" s="26"/>
      <c r="H4" t="s">
        <v>10</v>
      </c>
      <c r="K4" t="s">
        <v>11</v>
      </c>
    </row>
    <row r="5" spans="1:11" ht="17.25" thickTop="1" thickBot="1" x14ac:dyDescent="0.3">
      <c r="A5" s="31">
        <v>45765</v>
      </c>
      <c r="B5" s="30" t="s">
        <v>14</v>
      </c>
      <c r="D5" t="s">
        <v>15</v>
      </c>
      <c r="E5" s="7">
        <v>1</v>
      </c>
      <c r="F5" s="8"/>
      <c r="G5" t="s">
        <v>16</v>
      </c>
      <c r="H5" s="32">
        <v>1</v>
      </c>
      <c r="I5" s="33"/>
      <c r="J5" s="34" t="s">
        <v>17</v>
      </c>
      <c r="K5" s="32">
        <v>1</v>
      </c>
    </row>
    <row r="6" spans="1:11" ht="16.5" thickTop="1" x14ac:dyDescent="0.25">
      <c r="D6" t="s">
        <v>20</v>
      </c>
      <c r="E6" s="9">
        <v>2</v>
      </c>
      <c r="F6" s="8"/>
      <c r="G6" t="s">
        <v>21</v>
      </c>
      <c r="H6" s="35">
        <v>2</v>
      </c>
      <c r="I6" s="33"/>
      <c r="J6" s="34" t="s">
        <v>22</v>
      </c>
      <c r="K6" s="35">
        <v>2</v>
      </c>
    </row>
    <row r="7" spans="1:11" x14ac:dyDescent="0.25">
      <c r="D7" t="s">
        <v>25</v>
      </c>
      <c r="E7" s="9">
        <v>3</v>
      </c>
      <c r="F7" s="8"/>
      <c r="G7" t="s">
        <v>26</v>
      </c>
      <c r="H7" s="35">
        <v>3</v>
      </c>
      <c r="I7" s="33"/>
      <c r="J7" s="34" t="s">
        <v>27</v>
      </c>
      <c r="K7" s="35">
        <v>3</v>
      </c>
    </row>
    <row r="8" spans="1:11" x14ac:dyDescent="0.25">
      <c r="D8" t="s">
        <v>30</v>
      </c>
      <c r="E8" s="9">
        <v>4</v>
      </c>
      <c r="F8" s="8"/>
      <c r="G8" t="s">
        <v>31</v>
      </c>
      <c r="H8" s="35">
        <v>4</v>
      </c>
      <c r="I8" s="33"/>
      <c r="J8" s="34" t="s">
        <v>32</v>
      </c>
      <c r="K8" s="35">
        <v>4</v>
      </c>
    </row>
    <row r="9" spans="1:11" ht="16.5" thickBot="1" x14ac:dyDescent="0.3">
      <c r="D9" t="s">
        <v>35</v>
      </c>
      <c r="E9" s="10">
        <v>5</v>
      </c>
      <c r="F9" s="8"/>
      <c r="G9" t="s">
        <v>36</v>
      </c>
      <c r="H9" s="35">
        <v>5</v>
      </c>
      <c r="I9" s="33"/>
      <c r="J9" s="34" t="s">
        <v>37</v>
      </c>
      <c r="K9" s="35">
        <v>5</v>
      </c>
    </row>
    <row r="10" spans="1:11" ht="16.5" thickTop="1" x14ac:dyDescent="0.25">
      <c r="G10" t="s">
        <v>40</v>
      </c>
      <c r="H10" s="35">
        <v>6</v>
      </c>
      <c r="I10" s="33"/>
      <c r="J10" s="34" t="s">
        <v>41</v>
      </c>
      <c r="K10" s="35">
        <v>6</v>
      </c>
    </row>
    <row r="11" spans="1:11" ht="16.5" thickBot="1" x14ac:dyDescent="0.3">
      <c r="A11" t="s">
        <v>682</v>
      </c>
      <c r="B11" s="55">
        <v>44666</v>
      </c>
      <c r="G11" t="s">
        <v>44</v>
      </c>
      <c r="H11" s="36">
        <v>7</v>
      </c>
      <c r="I11" s="33"/>
      <c r="J11" s="34" t="s">
        <v>45</v>
      </c>
      <c r="K11" s="35">
        <v>7</v>
      </c>
    </row>
    <row r="12" spans="1:11" ht="16.5" thickTop="1" x14ac:dyDescent="0.25">
      <c r="A12" t="s">
        <v>683</v>
      </c>
      <c r="B12" s="55">
        <v>45023</v>
      </c>
      <c r="H12" s="37"/>
      <c r="J12" s="34" t="s">
        <v>48</v>
      </c>
      <c r="K12" s="35">
        <v>8</v>
      </c>
    </row>
    <row r="13" spans="1:11" x14ac:dyDescent="0.25">
      <c r="A13" t="s">
        <v>684</v>
      </c>
      <c r="B13" s="55">
        <v>45380</v>
      </c>
      <c r="J13" s="34" t="s">
        <v>51</v>
      </c>
      <c r="K13" s="35">
        <v>9</v>
      </c>
    </row>
    <row r="14" spans="1:11" x14ac:dyDescent="0.25">
      <c r="A14" t="s">
        <v>685</v>
      </c>
      <c r="B14" s="55">
        <v>45765</v>
      </c>
      <c r="J14" s="34" t="s">
        <v>54</v>
      </c>
      <c r="K14" s="35">
        <v>10</v>
      </c>
    </row>
    <row r="15" spans="1:11" x14ac:dyDescent="0.25">
      <c r="A15" t="s">
        <v>686</v>
      </c>
      <c r="B15" s="55">
        <v>46115</v>
      </c>
      <c r="J15" s="34" t="s">
        <v>57</v>
      </c>
      <c r="K15" s="35">
        <v>11</v>
      </c>
    </row>
    <row r="16" spans="1:11" ht="16.5" thickBot="1" x14ac:dyDescent="0.3">
      <c r="A16" t="s">
        <v>687</v>
      </c>
      <c r="B16" s="55">
        <v>46472</v>
      </c>
      <c r="J16" s="34" t="s">
        <v>60</v>
      </c>
      <c r="K16" s="36">
        <v>12</v>
      </c>
    </row>
    <row r="17" spans="1:2" ht="16.5" thickTop="1" x14ac:dyDescent="0.25">
      <c r="A17" t="s">
        <v>688</v>
      </c>
      <c r="B17" s="55">
        <v>46857</v>
      </c>
    </row>
    <row r="18" spans="1:2" x14ac:dyDescent="0.25">
      <c r="A18" t="s">
        <v>689</v>
      </c>
      <c r="B18" s="55">
        <v>47207</v>
      </c>
    </row>
    <row r="19" spans="1:2" x14ac:dyDescent="0.25">
      <c r="A19" t="s">
        <v>690</v>
      </c>
      <c r="B19" s="55">
        <v>47592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D37B-DD35-422F-B362-489E036260CB}">
  <dimension ref="A1:I127"/>
  <sheetViews>
    <sheetView workbookViewId="0">
      <pane ySplit="1" topLeftCell="A11" activePane="bottomLeft" state="frozen"/>
      <selection pane="bottomLeft" activeCell="D32" sqref="D32"/>
    </sheetView>
  </sheetViews>
  <sheetFormatPr defaultRowHeight="15.75" x14ac:dyDescent="0.25"/>
  <cols>
    <col min="1" max="1" width="40.25" style="14" bestFit="1" customWidth="1"/>
    <col min="2" max="2" width="57" style="14" customWidth="1"/>
    <col min="3" max="3" width="3.625" customWidth="1"/>
    <col min="4" max="4" width="36.375" style="25" customWidth="1"/>
    <col min="5" max="5" width="61.75" style="25" customWidth="1"/>
  </cols>
  <sheetData>
    <row r="1" spans="1:9" x14ac:dyDescent="0.25">
      <c r="A1" s="48" t="s">
        <v>538</v>
      </c>
      <c r="B1" s="48" t="s">
        <v>230</v>
      </c>
      <c r="C1" s="49"/>
      <c r="D1" s="48" t="s">
        <v>539</v>
      </c>
      <c r="E1" s="48" t="s">
        <v>537</v>
      </c>
    </row>
    <row r="2" spans="1:9" x14ac:dyDescent="0.25">
      <c r="A2" s="16" t="s">
        <v>228</v>
      </c>
      <c r="B2" s="16" t="s">
        <v>227</v>
      </c>
      <c r="C2" s="19"/>
      <c r="D2" s="21" t="s">
        <v>540</v>
      </c>
      <c r="E2" s="22" t="s">
        <v>541</v>
      </c>
      <c r="F2" s="25"/>
      <c r="G2" s="25"/>
      <c r="H2" s="25"/>
      <c r="I2" s="25"/>
    </row>
    <row r="3" spans="1:9" x14ac:dyDescent="0.25">
      <c r="A3" s="16" t="s">
        <v>229</v>
      </c>
      <c r="B3" s="16" t="s">
        <v>231</v>
      </c>
      <c r="C3" s="19"/>
      <c r="D3" s="20" t="s">
        <v>229</v>
      </c>
      <c r="E3" s="20" t="s">
        <v>542</v>
      </c>
      <c r="F3" s="25"/>
      <c r="G3" s="25"/>
      <c r="H3" s="25"/>
      <c r="I3" s="25"/>
    </row>
    <row r="4" spans="1:9" x14ac:dyDescent="0.25">
      <c r="A4" s="16" t="s">
        <v>232</v>
      </c>
      <c r="B4" s="16" t="s">
        <v>233</v>
      </c>
      <c r="C4" s="19"/>
      <c r="D4" s="20" t="s">
        <v>232</v>
      </c>
      <c r="E4" s="20" t="s">
        <v>543</v>
      </c>
      <c r="F4" s="25"/>
      <c r="G4" s="25"/>
      <c r="H4" s="25"/>
      <c r="I4" s="25"/>
    </row>
    <row r="5" spans="1:9" x14ac:dyDescent="0.25">
      <c r="A5" s="16" t="s">
        <v>234</v>
      </c>
      <c r="B5" s="16" t="s">
        <v>235</v>
      </c>
      <c r="C5" s="19"/>
      <c r="D5" s="20" t="s">
        <v>234</v>
      </c>
      <c r="E5" s="20" t="s">
        <v>544</v>
      </c>
      <c r="F5" s="25"/>
      <c r="G5" s="25"/>
      <c r="H5" s="25"/>
      <c r="I5" s="25"/>
    </row>
    <row r="6" spans="1:9" x14ac:dyDescent="0.25">
      <c r="A6" s="16" t="s">
        <v>236</v>
      </c>
      <c r="B6" s="17" t="s">
        <v>237</v>
      </c>
      <c r="C6" s="19"/>
      <c r="D6" s="20" t="s">
        <v>236</v>
      </c>
      <c r="E6" s="23" t="s">
        <v>545</v>
      </c>
      <c r="F6" s="25"/>
      <c r="G6" s="25"/>
      <c r="H6" s="25"/>
      <c r="I6" s="25"/>
    </row>
    <row r="7" spans="1:9" x14ac:dyDescent="0.25">
      <c r="A7" s="16" t="s">
        <v>238</v>
      </c>
      <c r="B7" s="16" t="s">
        <v>239</v>
      </c>
      <c r="C7" s="19"/>
      <c r="D7" s="20" t="s">
        <v>238</v>
      </c>
      <c r="E7" s="20" t="s">
        <v>546</v>
      </c>
      <c r="F7" s="25"/>
      <c r="G7" s="25"/>
      <c r="H7" s="25"/>
      <c r="I7" s="25"/>
    </row>
    <row r="8" spans="1:9" x14ac:dyDescent="0.25">
      <c r="A8" s="16" t="s">
        <v>240</v>
      </c>
      <c r="B8" s="17" t="s">
        <v>531</v>
      </c>
      <c r="C8" s="19"/>
      <c r="D8" s="20" t="s">
        <v>240</v>
      </c>
      <c r="E8" s="23" t="s">
        <v>547</v>
      </c>
      <c r="F8" s="25"/>
      <c r="G8" s="25"/>
      <c r="H8" s="25"/>
      <c r="I8" s="25"/>
    </row>
    <row r="9" spans="1:9" x14ac:dyDescent="0.25">
      <c r="A9" s="16" t="s">
        <v>241</v>
      </c>
      <c r="B9" s="18" t="s">
        <v>242</v>
      </c>
      <c r="C9" s="19"/>
      <c r="D9" s="21" t="s">
        <v>548</v>
      </c>
      <c r="E9" s="23" t="s">
        <v>549</v>
      </c>
      <c r="F9" s="25"/>
      <c r="G9" s="25"/>
      <c r="H9" s="25"/>
      <c r="I9" s="25"/>
    </row>
    <row r="10" spans="1:9" x14ac:dyDescent="0.25">
      <c r="A10" s="16" t="s">
        <v>243</v>
      </c>
      <c r="B10" s="18" t="s">
        <v>244</v>
      </c>
      <c r="C10" s="19"/>
      <c r="D10" s="20" t="s">
        <v>243</v>
      </c>
      <c r="E10" s="23" t="s">
        <v>550</v>
      </c>
      <c r="F10" s="25"/>
      <c r="G10" s="25"/>
      <c r="H10" s="25"/>
      <c r="I10" s="25"/>
    </row>
    <row r="11" spans="1:9" x14ac:dyDescent="0.25">
      <c r="A11" s="16" t="s">
        <v>245</v>
      </c>
      <c r="B11" s="16" t="s">
        <v>246</v>
      </c>
      <c r="C11" s="19"/>
      <c r="D11" s="20" t="s">
        <v>245</v>
      </c>
      <c r="E11" s="20" t="s">
        <v>551</v>
      </c>
      <c r="F11" s="25"/>
      <c r="G11" s="25"/>
      <c r="H11" s="25"/>
      <c r="I11" s="25"/>
    </row>
    <row r="12" spans="1:9" x14ac:dyDescent="0.25">
      <c r="A12" s="16" t="s">
        <v>247</v>
      </c>
      <c r="B12" s="18" t="s">
        <v>248</v>
      </c>
      <c r="C12" s="19"/>
      <c r="D12" s="20" t="s">
        <v>247</v>
      </c>
      <c r="E12" s="23" t="s">
        <v>552</v>
      </c>
      <c r="F12" s="25"/>
      <c r="G12" s="25"/>
      <c r="H12" s="25"/>
      <c r="I12" s="25"/>
    </row>
    <row r="13" spans="1:9" x14ac:dyDescent="0.25">
      <c r="A13" s="16" t="s">
        <v>249</v>
      </c>
      <c r="B13" s="18" t="s">
        <v>250</v>
      </c>
      <c r="C13" s="19"/>
      <c r="D13" s="20" t="s">
        <v>249</v>
      </c>
      <c r="E13" s="24" t="s">
        <v>553</v>
      </c>
      <c r="F13" s="25"/>
      <c r="G13" s="25"/>
      <c r="H13" s="25"/>
      <c r="I13" s="25"/>
    </row>
    <row r="14" spans="1:9" x14ac:dyDescent="0.25">
      <c r="A14" s="16" t="s">
        <v>251</v>
      </c>
      <c r="B14" s="18" t="s">
        <v>252</v>
      </c>
      <c r="C14" s="19"/>
      <c r="D14" s="20" t="s">
        <v>251</v>
      </c>
      <c r="E14" s="23" t="s">
        <v>554</v>
      </c>
      <c r="F14" s="25"/>
      <c r="G14" s="25"/>
      <c r="H14" s="25"/>
      <c r="I14" s="25"/>
    </row>
    <row r="15" spans="1:9" x14ac:dyDescent="0.25">
      <c r="A15" s="16" t="s">
        <v>253</v>
      </c>
      <c r="B15" s="18" t="s">
        <v>254</v>
      </c>
      <c r="C15" s="19"/>
      <c r="D15" s="20" t="s">
        <v>253</v>
      </c>
      <c r="E15" s="23" t="s">
        <v>555</v>
      </c>
      <c r="F15" s="25"/>
      <c r="G15" s="25"/>
      <c r="H15" s="25"/>
      <c r="I15" s="25"/>
    </row>
    <row r="16" spans="1:9" x14ac:dyDescent="0.25">
      <c r="A16" s="16" t="s">
        <v>255</v>
      </c>
      <c r="B16" s="13" t="s">
        <v>256</v>
      </c>
      <c r="C16" s="19"/>
      <c r="D16" s="20" t="s">
        <v>255</v>
      </c>
      <c r="E16" s="23" t="s">
        <v>556</v>
      </c>
      <c r="F16" s="25"/>
      <c r="G16" s="25"/>
      <c r="H16" s="25"/>
      <c r="I16" s="25"/>
    </row>
    <row r="17" spans="1:9" x14ac:dyDescent="0.25">
      <c r="A17" s="16" t="s">
        <v>257</v>
      </c>
      <c r="B17" s="16" t="s">
        <v>258</v>
      </c>
      <c r="C17" s="19"/>
      <c r="D17" s="20" t="s">
        <v>257</v>
      </c>
      <c r="E17" s="20" t="s">
        <v>557</v>
      </c>
      <c r="F17" s="25"/>
      <c r="G17" s="25"/>
      <c r="H17" s="25"/>
      <c r="I17" s="25"/>
    </row>
    <row r="18" spans="1:9" x14ac:dyDescent="0.25">
      <c r="A18" s="16" t="s">
        <v>259</v>
      </c>
      <c r="B18" s="16" t="s">
        <v>260</v>
      </c>
      <c r="C18" s="19"/>
      <c r="D18" s="20" t="s">
        <v>259</v>
      </c>
      <c r="E18" s="20" t="s">
        <v>558</v>
      </c>
      <c r="F18" s="25"/>
      <c r="G18" s="25"/>
      <c r="H18" s="25"/>
      <c r="I18" s="25"/>
    </row>
    <row r="19" spans="1:9" x14ac:dyDescent="0.25">
      <c r="A19" s="16" t="s">
        <v>261</v>
      </c>
      <c r="B19" s="18" t="s">
        <v>262</v>
      </c>
      <c r="C19" s="19"/>
      <c r="D19" s="20" t="s">
        <v>261</v>
      </c>
      <c r="E19" s="24" t="s">
        <v>559</v>
      </c>
      <c r="F19" s="25"/>
      <c r="G19" s="25"/>
      <c r="H19" s="25"/>
      <c r="I19" s="25"/>
    </row>
    <row r="20" spans="1:9" x14ac:dyDescent="0.25">
      <c r="A20" s="16" t="s">
        <v>263</v>
      </c>
      <c r="B20" s="18" t="s">
        <v>264</v>
      </c>
      <c r="C20" s="19"/>
      <c r="D20" s="20" t="s">
        <v>263</v>
      </c>
      <c r="E20" s="23" t="s">
        <v>560</v>
      </c>
      <c r="F20" s="25"/>
      <c r="G20" s="25"/>
      <c r="H20" s="25"/>
      <c r="I20" s="25"/>
    </row>
    <row r="21" spans="1:9" x14ac:dyDescent="0.25">
      <c r="A21" s="16" t="s">
        <v>265</v>
      </c>
      <c r="B21" s="18" t="s">
        <v>266</v>
      </c>
      <c r="C21" s="19"/>
      <c r="D21" s="20" t="s">
        <v>265</v>
      </c>
      <c r="E21" s="24" t="s">
        <v>561</v>
      </c>
      <c r="F21" s="25" t="s">
        <v>562</v>
      </c>
      <c r="G21" s="25"/>
      <c r="H21" s="25"/>
      <c r="I21" s="25"/>
    </row>
    <row r="22" spans="1:9" x14ac:dyDescent="0.25">
      <c r="A22" s="16" t="s">
        <v>267</v>
      </c>
      <c r="B22" s="18" t="s">
        <v>268</v>
      </c>
      <c r="C22" s="19"/>
      <c r="D22" s="21" t="s">
        <v>563</v>
      </c>
      <c r="E22" s="23" t="s">
        <v>564</v>
      </c>
      <c r="F22" s="25"/>
      <c r="G22" s="25"/>
      <c r="H22" s="25"/>
      <c r="I22" s="25"/>
    </row>
    <row r="23" spans="1:9" x14ac:dyDescent="0.25">
      <c r="A23" s="16" t="s">
        <v>269</v>
      </c>
      <c r="B23" s="18" t="s">
        <v>270</v>
      </c>
      <c r="C23" s="19"/>
      <c r="D23" s="20" t="s">
        <v>269</v>
      </c>
      <c r="E23" s="23" t="s">
        <v>565</v>
      </c>
      <c r="F23" s="25"/>
      <c r="G23" s="25"/>
      <c r="H23" s="25"/>
      <c r="I23" s="25"/>
    </row>
    <row r="24" spans="1:9" x14ac:dyDescent="0.25">
      <c r="A24" s="16" t="s">
        <v>271</v>
      </c>
      <c r="B24" s="18" t="s">
        <v>272</v>
      </c>
      <c r="C24" s="19"/>
      <c r="D24" s="21" t="s">
        <v>566</v>
      </c>
      <c r="E24" s="23" t="s">
        <v>567</v>
      </c>
      <c r="F24" s="25"/>
      <c r="G24" s="25"/>
      <c r="H24" s="25"/>
      <c r="I24" s="25"/>
    </row>
    <row r="25" spans="1:9" x14ac:dyDescent="0.25">
      <c r="A25" s="16" t="s">
        <v>273</v>
      </c>
      <c r="B25" s="18" t="s">
        <v>274</v>
      </c>
      <c r="C25" s="19"/>
      <c r="D25" s="20" t="s">
        <v>273</v>
      </c>
      <c r="E25" s="23" t="s">
        <v>568</v>
      </c>
      <c r="F25" s="25"/>
      <c r="G25" s="25"/>
      <c r="H25" s="25"/>
      <c r="I25" s="25"/>
    </row>
    <row r="26" spans="1:9" x14ac:dyDescent="0.25">
      <c r="A26" s="16" t="s">
        <v>677</v>
      </c>
      <c r="B26" s="18" t="s">
        <v>678</v>
      </c>
      <c r="C26" s="19"/>
      <c r="D26" s="20"/>
      <c r="E26" s="23"/>
    </row>
    <row r="27" spans="1:9" x14ac:dyDescent="0.25">
      <c r="A27" s="16" t="s">
        <v>275</v>
      </c>
      <c r="B27" s="18" t="s">
        <v>715</v>
      </c>
      <c r="C27" s="19"/>
      <c r="D27" s="20" t="s">
        <v>275</v>
      </c>
      <c r="E27" s="23" t="s">
        <v>716</v>
      </c>
      <c r="F27" s="25"/>
      <c r="G27" s="25"/>
      <c r="H27" s="25"/>
      <c r="I27" s="25"/>
    </row>
    <row r="28" spans="1:9" x14ac:dyDescent="0.25">
      <c r="A28" s="16" t="s">
        <v>276</v>
      </c>
      <c r="B28" s="18" t="s">
        <v>277</v>
      </c>
      <c r="C28" s="19"/>
      <c r="D28" s="20" t="s">
        <v>276</v>
      </c>
      <c r="E28" s="23" t="s">
        <v>569</v>
      </c>
      <c r="F28" s="25"/>
      <c r="G28" s="25"/>
      <c r="H28" s="25"/>
      <c r="I28" s="25"/>
    </row>
    <row r="29" spans="1:9" x14ac:dyDescent="0.25">
      <c r="A29" s="16" t="s">
        <v>278</v>
      </c>
      <c r="B29" s="18" t="s">
        <v>279</v>
      </c>
      <c r="C29" s="19"/>
      <c r="D29" s="20" t="s">
        <v>278</v>
      </c>
      <c r="E29" s="23" t="s">
        <v>570</v>
      </c>
      <c r="F29" s="25" t="s">
        <v>571</v>
      </c>
      <c r="G29" s="25"/>
      <c r="H29" s="25"/>
      <c r="I29" s="25"/>
    </row>
    <row r="30" spans="1:9" x14ac:dyDescent="0.25">
      <c r="A30" s="16" t="s">
        <v>280</v>
      </c>
      <c r="B30" s="18" t="s">
        <v>281</v>
      </c>
      <c r="C30" s="19"/>
      <c r="D30" s="20" t="s">
        <v>280</v>
      </c>
      <c r="E30" s="23" t="s">
        <v>572</v>
      </c>
      <c r="F30" s="25"/>
      <c r="G30" s="25"/>
      <c r="H30" s="25"/>
      <c r="I30" s="25"/>
    </row>
    <row r="31" spans="1:9" x14ac:dyDescent="0.25">
      <c r="A31" s="16" t="s">
        <v>282</v>
      </c>
      <c r="B31" s="18" t="s">
        <v>283</v>
      </c>
      <c r="C31" s="19"/>
      <c r="D31" s="20" t="s">
        <v>282</v>
      </c>
      <c r="E31" s="24" t="s">
        <v>573</v>
      </c>
      <c r="F31" s="25"/>
      <c r="G31" s="25"/>
      <c r="H31" s="25"/>
      <c r="I31" s="25"/>
    </row>
    <row r="32" spans="1:9" x14ac:dyDescent="0.25">
      <c r="A32" s="16" t="s">
        <v>284</v>
      </c>
      <c r="B32" s="16" t="s">
        <v>285</v>
      </c>
      <c r="C32" s="19"/>
      <c r="D32" s="20" t="s">
        <v>284</v>
      </c>
      <c r="E32" s="20" t="s">
        <v>574</v>
      </c>
      <c r="F32" s="25"/>
      <c r="G32" s="25"/>
      <c r="H32" s="25"/>
      <c r="I32" s="25"/>
    </row>
    <row r="33" spans="1:9" x14ac:dyDescent="0.25">
      <c r="A33" s="16" t="s">
        <v>286</v>
      </c>
      <c r="B33" s="16" t="s">
        <v>287</v>
      </c>
      <c r="C33" s="19"/>
      <c r="D33" s="16"/>
      <c r="E33" s="16"/>
      <c r="F33" s="25"/>
      <c r="G33" s="25"/>
      <c r="H33" s="25"/>
      <c r="I33" s="25"/>
    </row>
    <row r="34" spans="1:9" x14ac:dyDescent="0.25">
      <c r="A34" s="16" t="s">
        <v>288</v>
      </c>
      <c r="B34" s="18" t="s">
        <v>289</v>
      </c>
      <c r="C34" s="19"/>
      <c r="D34" s="20" t="s">
        <v>288</v>
      </c>
      <c r="E34" s="22" t="s">
        <v>575</v>
      </c>
      <c r="F34" s="25"/>
      <c r="G34" s="25"/>
      <c r="H34" s="25"/>
      <c r="I34" s="25"/>
    </row>
    <row r="35" spans="1:9" x14ac:dyDescent="0.25">
      <c r="A35" s="16" t="s">
        <v>290</v>
      </c>
      <c r="B35" s="18" t="s">
        <v>291</v>
      </c>
      <c r="C35" s="19"/>
      <c r="D35" s="20" t="s">
        <v>290</v>
      </c>
      <c r="E35" s="23" t="s">
        <v>589</v>
      </c>
      <c r="F35" s="25"/>
      <c r="G35" s="25"/>
      <c r="H35" s="25"/>
      <c r="I35" s="25"/>
    </row>
    <row r="36" spans="1:9" x14ac:dyDescent="0.25">
      <c r="A36" s="16" t="s">
        <v>292</v>
      </c>
      <c r="B36" s="16" t="s">
        <v>711</v>
      </c>
      <c r="C36" s="19"/>
      <c r="D36" s="20" t="s">
        <v>292</v>
      </c>
      <c r="E36" s="20" t="s">
        <v>712</v>
      </c>
      <c r="F36" s="25"/>
      <c r="G36" s="25"/>
      <c r="H36" s="25"/>
      <c r="I36" s="25"/>
    </row>
    <row r="37" spans="1:9" x14ac:dyDescent="0.25">
      <c r="A37" s="16" t="s">
        <v>293</v>
      </c>
      <c r="B37" s="18" t="s">
        <v>294</v>
      </c>
      <c r="C37" s="19"/>
      <c r="D37" s="20" t="s">
        <v>293</v>
      </c>
      <c r="E37" s="23" t="s">
        <v>590</v>
      </c>
      <c r="F37" s="25"/>
      <c r="G37" s="25"/>
      <c r="H37" s="25"/>
      <c r="I37" s="25"/>
    </row>
    <row r="38" spans="1:9" x14ac:dyDescent="0.25">
      <c r="A38" s="16" t="s">
        <v>295</v>
      </c>
      <c r="B38" s="18" t="s">
        <v>296</v>
      </c>
      <c r="C38" s="19"/>
      <c r="D38" s="20" t="s">
        <v>295</v>
      </c>
      <c r="E38" s="23" t="s">
        <v>591</v>
      </c>
      <c r="F38" s="25"/>
      <c r="G38" s="25"/>
      <c r="H38" s="25"/>
      <c r="I38" s="25"/>
    </row>
    <row r="39" spans="1:9" x14ac:dyDescent="0.25">
      <c r="A39" s="16" t="s">
        <v>297</v>
      </c>
      <c r="B39" s="18" t="s">
        <v>298</v>
      </c>
      <c r="C39" s="19"/>
      <c r="D39" s="20" t="s">
        <v>297</v>
      </c>
      <c r="E39" s="23" t="s">
        <v>592</v>
      </c>
      <c r="F39" s="25"/>
      <c r="G39" s="25"/>
      <c r="H39" s="25"/>
      <c r="I39" s="25"/>
    </row>
    <row r="40" spans="1:9" x14ac:dyDescent="0.25">
      <c r="A40" s="16" t="s">
        <v>299</v>
      </c>
      <c r="B40" s="18" t="s">
        <v>300</v>
      </c>
      <c r="C40" s="19"/>
      <c r="D40" s="16"/>
      <c r="E40" s="17"/>
      <c r="F40" s="25"/>
      <c r="G40" s="25"/>
      <c r="H40" s="25"/>
      <c r="I40" s="25"/>
    </row>
    <row r="41" spans="1:9" x14ac:dyDescent="0.25">
      <c r="A41" s="16" t="s">
        <v>301</v>
      </c>
      <c r="B41" s="18" t="s">
        <v>302</v>
      </c>
      <c r="C41" s="19"/>
      <c r="D41" s="20" t="s">
        <v>301</v>
      </c>
      <c r="E41" s="22" t="s">
        <v>593</v>
      </c>
      <c r="F41" s="25"/>
      <c r="G41" s="25"/>
      <c r="H41" s="25"/>
      <c r="I41" s="25"/>
    </row>
    <row r="42" spans="1:9" x14ac:dyDescent="0.25">
      <c r="A42" s="16" t="s">
        <v>303</v>
      </c>
      <c r="B42" s="18" t="s">
        <v>304</v>
      </c>
      <c r="C42" s="19"/>
      <c r="D42" s="21" t="s">
        <v>594</v>
      </c>
      <c r="E42" s="23" t="s">
        <v>595</v>
      </c>
      <c r="F42" s="25"/>
      <c r="G42" s="25"/>
      <c r="H42" s="25"/>
      <c r="I42" s="25"/>
    </row>
    <row r="43" spans="1:9" x14ac:dyDescent="0.25">
      <c r="A43" s="16" t="s">
        <v>305</v>
      </c>
      <c r="B43" s="18" t="s">
        <v>306</v>
      </c>
      <c r="C43" s="19"/>
      <c r="D43" s="20" t="s">
        <v>305</v>
      </c>
      <c r="E43" s="23" t="s">
        <v>596</v>
      </c>
      <c r="F43" s="25"/>
      <c r="G43" s="25"/>
      <c r="H43" s="25"/>
      <c r="I43" s="25"/>
    </row>
    <row r="44" spans="1:9" x14ac:dyDescent="0.25">
      <c r="A44" s="16" t="s">
        <v>307</v>
      </c>
      <c r="B44" s="16" t="s">
        <v>308</v>
      </c>
      <c r="C44" s="19"/>
      <c r="D44" s="20" t="s">
        <v>307</v>
      </c>
      <c r="E44" s="20" t="s">
        <v>308</v>
      </c>
      <c r="F44" s="25"/>
      <c r="G44" s="25"/>
      <c r="H44" s="25"/>
      <c r="I44" s="25"/>
    </row>
    <row r="45" spans="1:9" x14ac:dyDescent="0.25">
      <c r="A45" s="16" t="s">
        <v>309</v>
      </c>
      <c r="B45" s="16" t="s">
        <v>310</v>
      </c>
      <c r="C45" s="19"/>
      <c r="D45" s="20" t="s">
        <v>309</v>
      </c>
      <c r="E45" s="47" t="s">
        <v>597</v>
      </c>
      <c r="F45" s="25"/>
      <c r="G45" s="25"/>
      <c r="H45" s="25"/>
      <c r="I45" s="25"/>
    </row>
    <row r="46" spans="1:9" x14ac:dyDescent="0.25">
      <c r="A46" s="16" t="s">
        <v>311</v>
      </c>
      <c r="B46" s="16" t="s">
        <v>312</v>
      </c>
      <c r="C46" s="19"/>
      <c r="D46" s="20" t="s">
        <v>311</v>
      </c>
      <c r="E46" s="20" t="s">
        <v>598</v>
      </c>
      <c r="F46" s="25"/>
      <c r="G46" s="25"/>
      <c r="H46" s="25"/>
      <c r="I46" s="25"/>
    </row>
    <row r="47" spans="1:9" x14ac:dyDescent="0.25">
      <c r="A47" s="16" t="s">
        <v>313</v>
      </c>
      <c r="B47" s="18" t="s">
        <v>314</v>
      </c>
      <c r="C47" s="19"/>
      <c r="D47" s="20" t="s">
        <v>313</v>
      </c>
      <c r="E47" s="23" t="s">
        <v>599</v>
      </c>
      <c r="F47" s="25"/>
      <c r="G47" s="25"/>
      <c r="H47" s="25"/>
      <c r="I47" s="25"/>
    </row>
    <row r="48" spans="1:9" x14ac:dyDescent="0.25">
      <c r="A48" s="16" t="s">
        <v>315</v>
      </c>
      <c r="B48" s="18" t="s">
        <v>316</v>
      </c>
      <c r="C48" s="19"/>
      <c r="D48" s="20" t="s">
        <v>315</v>
      </c>
      <c r="E48" s="23" t="s">
        <v>600</v>
      </c>
      <c r="F48" s="25"/>
      <c r="G48" s="25"/>
      <c r="H48" s="25"/>
      <c r="I48" s="25"/>
    </row>
    <row r="49" spans="1:9" x14ac:dyDescent="0.25">
      <c r="A49" s="16" t="s">
        <v>317</v>
      </c>
      <c r="B49" s="18" t="s">
        <v>318</v>
      </c>
      <c r="C49" s="19"/>
      <c r="D49" s="20" t="s">
        <v>317</v>
      </c>
      <c r="E49" s="23" t="s">
        <v>601</v>
      </c>
      <c r="F49" s="25"/>
      <c r="G49" s="25"/>
      <c r="H49" s="25"/>
      <c r="I49" s="25"/>
    </row>
    <row r="50" spans="1:9" x14ac:dyDescent="0.25">
      <c r="A50" s="16" t="s">
        <v>319</v>
      </c>
      <c r="B50" s="18" t="s">
        <v>320</v>
      </c>
      <c r="C50" s="19"/>
      <c r="D50" s="16"/>
      <c r="E50" s="17"/>
      <c r="F50" s="25"/>
      <c r="G50" s="25"/>
      <c r="H50" s="25"/>
      <c r="I50" s="25"/>
    </row>
    <row r="51" spans="1:9" x14ac:dyDescent="0.25">
      <c r="A51" s="16" t="s">
        <v>321</v>
      </c>
      <c r="B51" s="16" t="s">
        <v>322</v>
      </c>
      <c r="C51" s="19"/>
      <c r="D51" s="20" t="s">
        <v>321</v>
      </c>
      <c r="E51" s="22" t="s">
        <v>602</v>
      </c>
      <c r="F51" s="25"/>
      <c r="G51" s="25"/>
      <c r="H51" s="25"/>
      <c r="I51" s="25"/>
    </row>
    <row r="52" spans="1:9" x14ac:dyDescent="0.25">
      <c r="A52" s="16" t="s">
        <v>323</v>
      </c>
      <c r="B52" s="18" t="s">
        <v>324</v>
      </c>
      <c r="C52" s="19"/>
      <c r="D52" s="16"/>
      <c r="E52" s="17"/>
      <c r="F52" s="25"/>
      <c r="G52" s="25"/>
      <c r="H52" s="25"/>
      <c r="I52" s="25"/>
    </row>
    <row r="53" spans="1:9" x14ac:dyDescent="0.25">
      <c r="A53" s="16" t="s">
        <v>325</v>
      </c>
      <c r="B53" s="18" t="s">
        <v>326</v>
      </c>
      <c r="C53" s="19"/>
      <c r="D53" s="16"/>
      <c r="E53" s="17"/>
      <c r="F53" s="25"/>
      <c r="G53" s="25"/>
      <c r="H53" s="25"/>
      <c r="I53" s="25"/>
    </row>
    <row r="54" spans="1:9" x14ac:dyDescent="0.25">
      <c r="A54" s="16" t="s">
        <v>327</v>
      </c>
      <c r="B54" s="18" t="s">
        <v>328</v>
      </c>
      <c r="C54" s="19"/>
      <c r="D54" s="16"/>
      <c r="E54" s="17"/>
      <c r="F54" s="25"/>
      <c r="G54" s="25"/>
      <c r="H54" s="25"/>
      <c r="I54" s="25"/>
    </row>
    <row r="55" spans="1:9" x14ac:dyDescent="0.25">
      <c r="A55" s="16" t="s">
        <v>329</v>
      </c>
      <c r="B55" s="16" t="s">
        <v>330</v>
      </c>
      <c r="C55" s="19"/>
      <c r="D55" s="20" t="s">
        <v>329</v>
      </c>
      <c r="E55" s="20" t="s">
        <v>603</v>
      </c>
      <c r="F55" s="25"/>
      <c r="G55" s="25"/>
      <c r="H55" s="25"/>
      <c r="I55" s="25"/>
    </row>
    <row r="56" spans="1:9" x14ac:dyDescent="0.25">
      <c r="A56" s="16" t="s">
        <v>331</v>
      </c>
      <c r="B56" s="16" t="s">
        <v>332</v>
      </c>
      <c r="C56" s="19"/>
      <c r="D56" s="20" t="s">
        <v>331</v>
      </c>
      <c r="E56" s="20" t="s">
        <v>604</v>
      </c>
      <c r="F56" s="25"/>
      <c r="G56" s="25"/>
      <c r="H56" s="25"/>
      <c r="I56" s="25"/>
    </row>
    <row r="57" spans="1:9" x14ac:dyDescent="0.25">
      <c r="A57" s="16" t="s">
        <v>333</v>
      </c>
      <c r="B57" s="18" t="s">
        <v>334</v>
      </c>
      <c r="C57" s="19"/>
      <c r="D57" s="16"/>
      <c r="E57" s="17"/>
      <c r="F57" s="25"/>
      <c r="G57" s="25"/>
      <c r="H57" s="25"/>
      <c r="I57" s="25"/>
    </row>
    <row r="58" spans="1:9" x14ac:dyDescent="0.25">
      <c r="A58" s="16" t="s">
        <v>335</v>
      </c>
      <c r="B58" s="18" t="s">
        <v>336</v>
      </c>
      <c r="C58" s="19"/>
      <c r="D58" s="20" t="s">
        <v>335</v>
      </c>
      <c r="E58" s="23" t="s">
        <v>605</v>
      </c>
      <c r="F58" s="25"/>
      <c r="G58" s="25"/>
      <c r="H58" s="25"/>
      <c r="I58" s="25"/>
    </row>
    <row r="59" spans="1:9" x14ac:dyDescent="0.25">
      <c r="A59" s="16" t="s">
        <v>337</v>
      </c>
      <c r="B59" s="16" t="s">
        <v>338</v>
      </c>
      <c r="C59" s="19"/>
      <c r="D59" s="20" t="s">
        <v>337</v>
      </c>
      <c r="E59" s="20" t="s">
        <v>606</v>
      </c>
      <c r="F59" s="25"/>
      <c r="G59" s="25"/>
      <c r="H59" s="25"/>
      <c r="I59" s="25"/>
    </row>
    <row r="60" spans="1:9" x14ac:dyDescent="0.25">
      <c r="A60" s="16" t="s">
        <v>339</v>
      </c>
      <c r="B60" s="16" t="s">
        <v>340</v>
      </c>
      <c r="C60" s="19"/>
      <c r="D60" s="20" t="s">
        <v>339</v>
      </c>
      <c r="E60" s="20" t="s">
        <v>607</v>
      </c>
      <c r="F60" s="25"/>
      <c r="G60" s="25"/>
      <c r="H60" s="25"/>
      <c r="I60" s="25"/>
    </row>
    <row r="61" spans="1:9" x14ac:dyDescent="0.25">
      <c r="A61" s="16" t="s">
        <v>341</v>
      </c>
      <c r="B61" s="16" t="s">
        <v>342</v>
      </c>
      <c r="C61" s="19"/>
      <c r="D61" s="20" t="s">
        <v>341</v>
      </c>
      <c r="E61" s="20" t="s">
        <v>608</v>
      </c>
      <c r="F61" s="25"/>
      <c r="G61" s="25"/>
      <c r="H61" s="25"/>
      <c r="I61" s="25"/>
    </row>
    <row r="62" spans="1:9" x14ac:dyDescent="0.25">
      <c r="A62" s="16" t="s">
        <v>343</v>
      </c>
      <c r="B62" s="18" t="s">
        <v>344</v>
      </c>
      <c r="C62" s="19"/>
      <c r="D62" s="16"/>
      <c r="E62" s="17"/>
      <c r="F62" s="25"/>
      <c r="G62" s="25"/>
      <c r="H62" s="25"/>
      <c r="I62" s="25"/>
    </row>
    <row r="63" spans="1:9" x14ac:dyDescent="0.25">
      <c r="A63" s="16" t="s">
        <v>345</v>
      </c>
      <c r="B63" s="18" t="s">
        <v>346</v>
      </c>
      <c r="C63" s="19"/>
      <c r="D63" s="20" t="s">
        <v>345</v>
      </c>
      <c r="E63" s="23" t="s">
        <v>609</v>
      </c>
      <c r="F63" s="25"/>
      <c r="G63" s="25"/>
      <c r="H63" s="25"/>
      <c r="I63" s="25"/>
    </row>
    <row r="64" spans="1:9" x14ac:dyDescent="0.25">
      <c r="A64" s="16" t="s">
        <v>347</v>
      </c>
      <c r="B64" s="18" t="s">
        <v>348</v>
      </c>
      <c r="C64" s="19"/>
      <c r="D64" s="20" t="s">
        <v>347</v>
      </c>
      <c r="E64" s="23" t="s">
        <v>610</v>
      </c>
      <c r="F64" s="25"/>
      <c r="G64" s="25"/>
      <c r="H64" s="25"/>
      <c r="I64" s="25"/>
    </row>
    <row r="65" spans="1:9" x14ac:dyDescent="0.25">
      <c r="A65" s="16" t="s">
        <v>349</v>
      </c>
      <c r="B65" s="18" t="s">
        <v>350</v>
      </c>
      <c r="C65" s="19"/>
      <c r="D65" s="20" t="s">
        <v>349</v>
      </c>
      <c r="E65" s="23" t="s">
        <v>350</v>
      </c>
      <c r="F65" s="25"/>
      <c r="G65" s="25"/>
      <c r="H65" s="25"/>
      <c r="I65" s="25"/>
    </row>
    <row r="66" spans="1:9" x14ac:dyDescent="0.25">
      <c r="A66" s="16" t="s">
        <v>351</v>
      </c>
      <c r="B66" s="18" t="s">
        <v>352</v>
      </c>
      <c r="C66" s="19"/>
      <c r="D66" s="20" t="s">
        <v>351</v>
      </c>
      <c r="E66" s="47" t="s">
        <v>611</v>
      </c>
      <c r="F66" s="25"/>
      <c r="G66" s="25"/>
      <c r="H66" s="25"/>
      <c r="I66" s="25"/>
    </row>
    <row r="67" spans="1:9" x14ac:dyDescent="0.25">
      <c r="A67" s="16" t="s">
        <v>353</v>
      </c>
      <c r="B67" s="18" t="s">
        <v>354</v>
      </c>
      <c r="C67" s="19"/>
      <c r="D67" s="20" t="s">
        <v>353</v>
      </c>
      <c r="E67" s="23" t="s">
        <v>612</v>
      </c>
      <c r="F67" s="25"/>
      <c r="G67" s="25"/>
      <c r="H67" s="25"/>
      <c r="I67" s="25"/>
    </row>
    <row r="68" spans="1:9" x14ac:dyDescent="0.25">
      <c r="A68" s="16" t="s">
        <v>355</v>
      </c>
      <c r="B68" s="16" t="s">
        <v>356</v>
      </c>
      <c r="C68" s="19"/>
      <c r="D68" s="20" t="s">
        <v>355</v>
      </c>
      <c r="E68" s="22" t="s">
        <v>613</v>
      </c>
      <c r="F68" s="25"/>
      <c r="G68" s="25"/>
      <c r="H68" s="25"/>
      <c r="I68" s="25"/>
    </row>
    <row r="69" spans="1:9" x14ac:dyDescent="0.25">
      <c r="A69" s="16" t="s">
        <v>357</v>
      </c>
      <c r="B69" s="16" t="s">
        <v>358</v>
      </c>
      <c r="C69" s="19"/>
      <c r="D69" s="20" t="s">
        <v>357</v>
      </c>
      <c r="E69" s="20" t="s">
        <v>614</v>
      </c>
      <c r="F69" s="25"/>
      <c r="G69" s="25"/>
      <c r="H69" s="25"/>
      <c r="I69" s="25"/>
    </row>
    <row r="70" spans="1:9" x14ac:dyDescent="0.25">
      <c r="A70" s="16" t="s">
        <v>359</v>
      </c>
      <c r="B70" s="18" t="s">
        <v>360</v>
      </c>
      <c r="C70" s="19"/>
      <c r="D70" s="20" t="s">
        <v>359</v>
      </c>
      <c r="E70" s="23" t="s">
        <v>615</v>
      </c>
      <c r="F70" s="25"/>
      <c r="G70" s="25"/>
      <c r="H70" s="25"/>
      <c r="I70" s="25"/>
    </row>
    <row r="71" spans="1:9" x14ac:dyDescent="0.25">
      <c r="A71" s="16" t="s">
        <v>361</v>
      </c>
      <c r="B71" s="18" t="s">
        <v>362</v>
      </c>
      <c r="C71" s="19"/>
      <c r="D71" s="20" t="s">
        <v>361</v>
      </c>
      <c r="E71" s="23" t="s">
        <v>637</v>
      </c>
      <c r="F71" s="25"/>
      <c r="G71" s="25"/>
      <c r="H71" s="25"/>
      <c r="I71" s="25"/>
    </row>
    <row r="72" spans="1:9" x14ac:dyDescent="0.25">
      <c r="A72" s="16" t="s">
        <v>363</v>
      </c>
      <c r="B72" s="18" t="s">
        <v>364</v>
      </c>
      <c r="C72" s="19"/>
      <c r="D72" s="20" t="s">
        <v>363</v>
      </c>
      <c r="E72" s="47" t="s">
        <v>616</v>
      </c>
      <c r="F72" s="25"/>
      <c r="G72" s="25"/>
      <c r="H72" s="25"/>
      <c r="I72" s="25"/>
    </row>
    <row r="73" spans="1:9" x14ac:dyDescent="0.25">
      <c r="A73" s="16" t="s">
        <v>365</v>
      </c>
      <c r="B73" s="18" t="s">
        <v>366</v>
      </c>
      <c r="C73" s="19"/>
      <c r="D73" s="20" t="s">
        <v>365</v>
      </c>
      <c r="E73" s="23" t="s">
        <v>617</v>
      </c>
      <c r="F73" s="25"/>
      <c r="G73" s="25"/>
      <c r="H73" s="25"/>
      <c r="I73" s="25"/>
    </row>
    <row r="74" spans="1:9" x14ac:dyDescent="0.25">
      <c r="A74" s="16" t="s">
        <v>367</v>
      </c>
      <c r="B74" s="18" t="s">
        <v>368</v>
      </c>
      <c r="C74" s="19"/>
      <c r="D74" s="21" t="s">
        <v>618</v>
      </c>
      <c r="E74" s="23" t="s">
        <v>619</v>
      </c>
      <c r="F74" s="25"/>
      <c r="G74" s="25"/>
      <c r="H74" s="25"/>
      <c r="I74" s="25"/>
    </row>
    <row r="75" spans="1:9" x14ac:dyDescent="0.25">
      <c r="A75" s="16" t="s">
        <v>369</v>
      </c>
      <c r="B75" s="18" t="s">
        <v>370</v>
      </c>
      <c r="C75" s="19"/>
      <c r="D75" s="20" t="s">
        <v>369</v>
      </c>
      <c r="E75" s="23" t="s">
        <v>620</v>
      </c>
      <c r="F75" s="25"/>
      <c r="G75" s="25"/>
      <c r="H75" s="25"/>
      <c r="I75" s="25"/>
    </row>
    <row r="76" spans="1:9" x14ac:dyDescent="0.25">
      <c r="A76" s="16" t="s">
        <v>371</v>
      </c>
      <c r="B76" s="18" t="s">
        <v>372</v>
      </c>
      <c r="C76" s="19"/>
      <c r="D76" s="20" t="s">
        <v>371</v>
      </c>
      <c r="E76" s="23" t="s">
        <v>621</v>
      </c>
      <c r="F76" s="25"/>
      <c r="G76" s="25"/>
      <c r="H76" s="25"/>
      <c r="I76" s="25"/>
    </row>
    <row r="77" spans="1:9" x14ac:dyDescent="0.25">
      <c r="A77" s="16" t="s">
        <v>373</v>
      </c>
      <c r="B77" s="16" t="s">
        <v>374</v>
      </c>
      <c r="C77" s="19"/>
      <c r="D77" s="20" t="s">
        <v>373</v>
      </c>
      <c r="E77" s="20" t="s">
        <v>622</v>
      </c>
      <c r="F77" s="25"/>
      <c r="G77" s="25"/>
      <c r="H77" s="25"/>
      <c r="I77" s="25"/>
    </row>
    <row r="78" spans="1:9" x14ac:dyDescent="0.25">
      <c r="A78" s="16" t="s">
        <v>701</v>
      </c>
      <c r="B78" s="16" t="s">
        <v>702</v>
      </c>
      <c r="C78" s="19"/>
      <c r="D78" s="20"/>
      <c r="E78" s="20"/>
      <c r="F78" s="25"/>
      <c r="G78" s="25"/>
      <c r="H78" s="25"/>
      <c r="I78" s="25"/>
    </row>
    <row r="79" spans="1:9" x14ac:dyDescent="0.25">
      <c r="A79" s="16" t="s">
        <v>375</v>
      </c>
      <c r="B79" s="16" t="s">
        <v>376</v>
      </c>
      <c r="C79" s="19"/>
      <c r="D79" s="20" t="s">
        <v>375</v>
      </c>
      <c r="E79" s="20" t="s">
        <v>623</v>
      </c>
      <c r="F79" s="25"/>
      <c r="G79" s="25"/>
      <c r="H79" s="25"/>
      <c r="I79" s="25"/>
    </row>
    <row r="80" spans="1:9" x14ac:dyDescent="0.25">
      <c r="A80" s="16" t="s">
        <v>377</v>
      </c>
      <c r="B80" s="16" t="s">
        <v>378</v>
      </c>
      <c r="C80" s="19"/>
      <c r="D80" s="20" t="s">
        <v>377</v>
      </c>
      <c r="E80" s="22" t="s">
        <v>624</v>
      </c>
      <c r="F80" s="25"/>
      <c r="G80" s="25"/>
      <c r="H80" s="25"/>
      <c r="I80" s="25"/>
    </row>
    <row r="81" spans="1:9" x14ac:dyDescent="0.25">
      <c r="A81" s="16" t="s">
        <v>379</v>
      </c>
      <c r="B81" s="18" t="s">
        <v>380</v>
      </c>
      <c r="C81" s="19"/>
      <c r="D81" s="20" t="s">
        <v>379</v>
      </c>
      <c r="E81" s="23" t="s">
        <v>625</v>
      </c>
      <c r="F81" s="25"/>
      <c r="G81" s="25"/>
      <c r="H81" s="25"/>
      <c r="I81" s="25"/>
    </row>
    <row r="82" spans="1:9" x14ac:dyDescent="0.25">
      <c r="A82" s="16" t="s">
        <v>383</v>
      </c>
      <c r="B82" s="18" t="s">
        <v>384</v>
      </c>
      <c r="C82" s="19"/>
      <c r="D82" s="20" t="s">
        <v>383</v>
      </c>
      <c r="E82" s="23" t="s">
        <v>384</v>
      </c>
      <c r="F82" s="25"/>
      <c r="G82" s="25"/>
      <c r="H82" s="25"/>
      <c r="I82" s="25"/>
    </row>
    <row r="83" spans="1:9" x14ac:dyDescent="0.25">
      <c r="A83" s="16" t="s">
        <v>385</v>
      </c>
      <c r="B83" s="18" t="s">
        <v>386</v>
      </c>
      <c r="C83" s="19"/>
      <c r="D83" s="20" t="s">
        <v>385</v>
      </c>
      <c r="E83" s="23" t="s">
        <v>626</v>
      </c>
      <c r="F83" s="25"/>
      <c r="G83" s="25"/>
      <c r="H83" s="25"/>
      <c r="I83" s="25"/>
    </row>
    <row r="84" spans="1:9" x14ac:dyDescent="0.25">
      <c r="A84" s="16" t="s">
        <v>387</v>
      </c>
      <c r="B84" s="18" t="s">
        <v>388</v>
      </c>
      <c r="C84" s="19"/>
      <c r="D84" s="16"/>
      <c r="E84" s="17"/>
      <c r="F84" s="25"/>
      <c r="G84" s="25"/>
      <c r="H84" s="25"/>
      <c r="I84" s="25"/>
    </row>
    <row r="85" spans="1:9" x14ac:dyDescent="0.25">
      <c r="A85" s="16" t="s">
        <v>389</v>
      </c>
      <c r="B85" s="16" t="s">
        <v>390</v>
      </c>
      <c r="C85" s="19"/>
      <c r="D85" s="20" t="s">
        <v>389</v>
      </c>
      <c r="E85" s="20" t="s">
        <v>627</v>
      </c>
      <c r="F85" s="25"/>
      <c r="G85" s="25"/>
      <c r="H85" s="25"/>
      <c r="I85" s="25"/>
    </row>
    <row r="86" spans="1:9" x14ac:dyDescent="0.25">
      <c r="A86" s="16" t="s">
        <v>391</v>
      </c>
      <c r="B86" s="18" t="s">
        <v>713</v>
      </c>
      <c r="C86" s="19"/>
      <c r="D86" s="20" t="s">
        <v>391</v>
      </c>
      <c r="E86" s="23" t="s">
        <v>714</v>
      </c>
      <c r="F86" s="25"/>
      <c r="G86" s="25"/>
      <c r="H86" s="25"/>
      <c r="I86" s="25"/>
    </row>
    <row r="87" spans="1:9" x14ac:dyDescent="0.25">
      <c r="A87" s="16" t="s">
        <v>381</v>
      </c>
      <c r="B87" s="18" t="s">
        <v>382</v>
      </c>
      <c r="C87" s="19"/>
      <c r="D87" s="20" t="s">
        <v>381</v>
      </c>
      <c r="E87" s="47" t="s">
        <v>700</v>
      </c>
      <c r="F87" s="25"/>
      <c r="G87" s="25"/>
      <c r="H87" s="25"/>
      <c r="I87" s="25"/>
    </row>
    <row r="88" spans="1:9" x14ac:dyDescent="0.25">
      <c r="A88" s="16" t="s">
        <v>392</v>
      </c>
      <c r="B88" s="16" t="s">
        <v>393</v>
      </c>
      <c r="C88" s="19"/>
      <c r="D88" s="16"/>
      <c r="E88" s="16"/>
      <c r="F88" s="25"/>
      <c r="G88" s="25"/>
      <c r="H88" s="25"/>
      <c r="I88" s="25"/>
    </row>
    <row r="89" spans="1:9" x14ac:dyDescent="0.25">
      <c r="A89" s="16" t="s">
        <v>394</v>
      </c>
      <c r="B89" s="16" t="s">
        <v>395</v>
      </c>
      <c r="C89" s="19"/>
      <c r="D89" s="16"/>
      <c r="E89" s="16"/>
      <c r="F89" s="25"/>
      <c r="G89" s="25"/>
      <c r="H89" s="25"/>
      <c r="I89" s="25"/>
    </row>
    <row r="90" spans="1:9" x14ac:dyDescent="0.25">
      <c r="A90" s="16" t="s">
        <v>396</v>
      </c>
      <c r="B90" s="18" t="s">
        <v>397</v>
      </c>
      <c r="C90" s="19"/>
      <c r="D90" s="20" t="s">
        <v>396</v>
      </c>
      <c r="E90" s="23" t="s">
        <v>628</v>
      </c>
      <c r="F90" s="25"/>
      <c r="G90" s="25"/>
      <c r="H90" s="25"/>
      <c r="I90" s="25"/>
    </row>
    <row r="91" spans="1:9" x14ac:dyDescent="0.25">
      <c r="A91" s="16" t="s">
        <v>398</v>
      </c>
      <c r="B91" s="16" t="s">
        <v>695</v>
      </c>
      <c r="C91" s="19"/>
      <c r="D91" s="16"/>
      <c r="E91" s="16"/>
      <c r="F91" s="25"/>
      <c r="G91" s="25"/>
      <c r="H91" s="25"/>
      <c r="I91" s="25"/>
    </row>
    <row r="92" spans="1:9" x14ac:dyDescent="0.25">
      <c r="A92" s="16" t="s">
        <v>399</v>
      </c>
      <c r="B92" s="16" t="s">
        <v>400</v>
      </c>
      <c r="C92" s="19"/>
      <c r="D92" s="20" t="s">
        <v>399</v>
      </c>
      <c r="E92" s="20" t="s">
        <v>629</v>
      </c>
      <c r="F92" s="25"/>
      <c r="G92" s="25"/>
      <c r="H92" s="25"/>
      <c r="I92" s="25"/>
    </row>
    <row r="93" spans="1:9" x14ac:dyDescent="0.25">
      <c r="A93" s="16" t="s">
        <v>401</v>
      </c>
      <c r="B93" s="18" t="s">
        <v>402</v>
      </c>
      <c r="C93" s="19"/>
      <c r="D93" s="20" t="s">
        <v>401</v>
      </c>
      <c r="E93" s="47" t="s">
        <v>630</v>
      </c>
      <c r="F93" s="25"/>
      <c r="G93" s="25"/>
      <c r="H93" s="25"/>
      <c r="I93" s="25"/>
    </row>
    <row r="94" spans="1:9" x14ac:dyDescent="0.25">
      <c r="A94" s="16" t="s">
        <v>403</v>
      </c>
      <c r="B94" s="18" t="s">
        <v>404</v>
      </c>
      <c r="C94" s="19"/>
      <c r="D94" s="20" t="s">
        <v>403</v>
      </c>
      <c r="E94" s="23" t="s">
        <v>631</v>
      </c>
      <c r="F94" s="25"/>
      <c r="G94" s="25"/>
      <c r="H94" s="25"/>
      <c r="I94" s="25"/>
    </row>
    <row r="95" spans="1:9" x14ac:dyDescent="0.25">
      <c r="A95" s="16" t="s">
        <v>405</v>
      </c>
      <c r="B95" s="18" t="s">
        <v>406</v>
      </c>
      <c r="C95" s="19"/>
      <c r="D95" s="16"/>
      <c r="E95" s="17"/>
      <c r="F95" s="25"/>
      <c r="G95" s="25"/>
      <c r="H95" s="25"/>
      <c r="I95" s="25"/>
    </row>
    <row r="96" spans="1:9" x14ac:dyDescent="0.25">
      <c r="A96" s="16" t="s">
        <v>407</v>
      </c>
      <c r="B96" s="18" t="s">
        <v>408</v>
      </c>
      <c r="C96" s="19"/>
      <c r="D96" s="20" t="s">
        <v>407</v>
      </c>
      <c r="E96" s="23" t="s">
        <v>632</v>
      </c>
      <c r="F96" s="25"/>
      <c r="G96" s="25"/>
      <c r="H96" s="25"/>
      <c r="I96" s="25"/>
    </row>
    <row r="97" spans="1:9" x14ac:dyDescent="0.25">
      <c r="A97" s="16" t="s">
        <v>409</v>
      </c>
      <c r="B97" s="16" t="s">
        <v>410</v>
      </c>
      <c r="C97" s="19"/>
      <c r="D97" s="20" t="s">
        <v>409</v>
      </c>
      <c r="E97" s="20" t="s">
        <v>633</v>
      </c>
      <c r="F97" s="25"/>
      <c r="G97" s="25"/>
      <c r="H97" s="25"/>
      <c r="I97" s="25"/>
    </row>
    <row r="98" spans="1:9" x14ac:dyDescent="0.25">
      <c r="A98" s="16" t="s">
        <v>411</v>
      </c>
      <c r="B98" s="18" t="s">
        <v>412</v>
      </c>
      <c r="C98" s="19"/>
      <c r="D98" s="16" t="s">
        <v>411</v>
      </c>
      <c r="E98" s="18" t="s">
        <v>707</v>
      </c>
      <c r="F98" s="25"/>
      <c r="G98" s="25"/>
      <c r="H98" s="25"/>
      <c r="I98" s="25"/>
    </row>
    <row r="99" spans="1:9" x14ac:dyDescent="0.25">
      <c r="A99" s="16" t="s">
        <v>413</v>
      </c>
      <c r="B99" s="18" t="s">
        <v>414</v>
      </c>
      <c r="C99" s="19"/>
      <c r="D99" s="16"/>
      <c r="E99" s="17"/>
      <c r="F99" s="25"/>
      <c r="G99" s="25"/>
      <c r="H99" s="25"/>
      <c r="I99" s="25"/>
    </row>
    <row r="100" spans="1:9" x14ac:dyDescent="0.25">
      <c r="A100" s="16" t="s">
        <v>415</v>
      </c>
      <c r="B100" s="18" t="s">
        <v>416</v>
      </c>
      <c r="C100" s="19"/>
      <c r="D100" s="52" t="s">
        <v>415</v>
      </c>
      <c r="E100" s="53" t="s">
        <v>675</v>
      </c>
      <c r="F100" s="25"/>
      <c r="G100" s="25"/>
      <c r="H100" s="25"/>
      <c r="I100" s="25"/>
    </row>
    <row r="101" spans="1:9" x14ac:dyDescent="0.25">
      <c r="A101" s="16" t="s">
        <v>417</v>
      </c>
      <c r="B101" s="16" t="s">
        <v>692</v>
      </c>
      <c r="C101" s="19"/>
      <c r="D101" s="16"/>
      <c r="E101" s="16"/>
      <c r="F101" s="25"/>
      <c r="G101" s="25"/>
      <c r="H101" s="25"/>
      <c r="I101" s="25"/>
    </row>
    <row r="102" spans="1:9" x14ac:dyDescent="0.25">
      <c r="A102" s="16" t="s">
        <v>418</v>
      </c>
      <c r="B102" s="18" t="s">
        <v>680</v>
      </c>
      <c r="C102" s="19"/>
      <c r="D102" s="16" t="s">
        <v>679</v>
      </c>
      <c r="E102" s="17" t="s">
        <v>691</v>
      </c>
      <c r="F102" s="25"/>
      <c r="G102" s="25"/>
      <c r="H102" s="25"/>
      <c r="I102" s="25"/>
    </row>
    <row r="103" spans="1:9" x14ac:dyDescent="0.25">
      <c r="A103" s="16" t="s">
        <v>419</v>
      </c>
      <c r="B103" s="18" t="s">
        <v>420</v>
      </c>
      <c r="C103" s="19"/>
      <c r="D103" s="16" t="s">
        <v>705</v>
      </c>
      <c r="E103" s="17" t="s">
        <v>706</v>
      </c>
      <c r="F103" s="25"/>
      <c r="G103" s="25"/>
      <c r="H103" s="25"/>
      <c r="I103" s="25"/>
    </row>
    <row r="104" spans="1:9" x14ac:dyDescent="0.25">
      <c r="A104" s="16" t="s">
        <v>421</v>
      </c>
      <c r="B104" s="16" t="s">
        <v>422</v>
      </c>
      <c r="C104" s="19"/>
      <c r="D104" s="16"/>
      <c r="E104" s="16"/>
      <c r="F104" s="25"/>
      <c r="G104" s="25"/>
      <c r="H104" s="25"/>
      <c r="I104" s="25"/>
    </row>
    <row r="105" spans="1:9" x14ac:dyDescent="0.25">
      <c r="A105" s="16" t="s">
        <v>423</v>
      </c>
      <c r="B105" s="16" t="s">
        <v>424</v>
      </c>
      <c r="C105" s="19"/>
      <c r="D105" s="16" t="s">
        <v>423</v>
      </c>
      <c r="E105" s="16" t="s">
        <v>694</v>
      </c>
      <c r="F105" s="25"/>
      <c r="G105" s="25"/>
      <c r="H105" s="25"/>
      <c r="I105" s="25"/>
    </row>
    <row r="106" spans="1:9" x14ac:dyDescent="0.25">
      <c r="A106" s="16" t="s">
        <v>698</v>
      </c>
      <c r="B106" s="14" t="s">
        <v>697</v>
      </c>
      <c r="C106" s="19"/>
      <c r="F106" s="25"/>
      <c r="G106" s="25"/>
      <c r="H106" s="25"/>
      <c r="I106" s="25"/>
    </row>
    <row r="107" spans="1:9" x14ac:dyDescent="0.25">
      <c r="A107" s="16" t="s">
        <v>425</v>
      </c>
      <c r="B107" s="18" t="s">
        <v>426</v>
      </c>
      <c r="C107" s="19"/>
      <c r="D107" s="20" t="s">
        <v>425</v>
      </c>
      <c r="E107" s="23" t="s">
        <v>634</v>
      </c>
      <c r="F107" s="25"/>
      <c r="G107" s="25"/>
      <c r="H107" s="25"/>
      <c r="I107" s="25"/>
    </row>
    <row r="108" spans="1:9" x14ac:dyDescent="0.25">
      <c r="A108" s="16" t="s">
        <v>427</v>
      </c>
      <c r="B108" s="18" t="s">
        <v>428</v>
      </c>
      <c r="C108" s="19"/>
      <c r="D108" s="20" t="s">
        <v>427</v>
      </c>
      <c r="E108" s="47" t="s">
        <v>635</v>
      </c>
      <c r="F108" s="25"/>
      <c r="G108" s="25"/>
      <c r="H108" s="25"/>
      <c r="I108" s="25"/>
    </row>
    <row r="109" spans="1:9" x14ac:dyDescent="0.25">
      <c r="A109" s="16" t="s">
        <v>429</v>
      </c>
      <c r="B109" s="16" t="s">
        <v>430</v>
      </c>
      <c r="C109" s="19"/>
      <c r="D109" s="16"/>
      <c r="E109" s="16"/>
    </row>
    <row r="110" spans="1:9" x14ac:dyDescent="0.25">
      <c r="A110" s="16"/>
      <c r="B110" s="16"/>
    </row>
    <row r="111" spans="1:9" x14ac:dyDescent="0.25">
      <c r="A111" s="16"/>
      <c r="B111" s="16"/>
    </row>
    <row r="112" spans="1:9" x14ac:dyDescent="0.25">
      <c r="A112" s="16"/>
      <c r="B112" s="16"/>
    </row>
    <row r="113" spans="1:2" x14ac:dyDescent="0.25">
      <c r="A113" s="16"/>
      <c r="B113" s="16"/>
    </row>
    <row r="114" spans="1:2" x14ac:dyDescent="0.25">
      <c r="A114" s="16"/>
      <c r="B114" s="16"/>
    </row>
    <row r="115" spans="1:2" x14ac:dyDescent="0.25">
      <c r="A115" s="16"/>
      <c r="B115" s="16"/>
    </row>
    <row r="116" spans="1:2" x14ac:dyDescent="0.25">
      <c r="A116" s="16"/>
      <c r="B116" s="16"/>
    </row>
    <row r="117" spans="1:2" x14ac:dyDescent="0.25">
      <c r="A117" s="16"/>
      <c r="B117" s="16"/>
    </row>
    <row r="118" spans="1:2" x14ac:dyDescent="0.25">
      <c r="A118" s="16"/>
      <c r="B118" s="16"/>
    </row>
    <row r="119" spans="1:2" x14ac:dyDescent="0.25">
      <c r="A119" s="16"/>
      <c r="B119" s="16"/>
    </row>
    <row r="120" spans="1:2" x14ac:dyDescent="0.25">
      <c r="A120" s="16"/>
      <c r="B120" s="16"/>
    </row>
    <row r="121" spans="1:2" x14ac:dyDescent="0.25">
      <c r="A121" s="16"/>
      <c r="B121" s="16"/>
    </row>
    <row r="122" spans="1:2" x14ac:dyDescent="0.25">
      <c r="A122" s="16"/>
      <c r="B122" s="16"/>
    </row>
    <row r="123" spans="1:2" x14ac:dyDescent="0.25">
      <c r="A123" s="16"/>
      <c r="B123" s="16"/>
    </row>
    <row r="124" spans="1:2" x14ac:dyDescent="0.25">
      <c r="A124" s="16"/>
      <c r="B124" s="16"/>
    </row>
    <row r="125" spans="1:2" x14ac:dyDescent="0.25">
      <c r="A125" s="16"/>
      <c r="B125" s="16"/>
    </row>
    <row r="126" spans="1:2" x14ac:dyDescent="0.25">
      <c r="A126" s="16"/>
      <c r="B126" s="16"/>
    </row>
    <row r="127" spans="1:2" x14ac:dyDescent="0.25">
      <c r="A127" s="16"/>
      <c r="B127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B3DF-1877-41CA-8E39-9BEDB0911EE7}">
  <dimension ref="A2:C44"/>
  <sheetViews>
    <sheetView workbookViewId="0">
      <selection activeCell="G47" sqref="G47"/>
    </sheetView>
  </sheetViews>
  <sheetFormatPr defaultRowHeight="15.75" x14ac:dyDescent="0.25"/>
  <sheetData>
    <row r="2" spans="2:2" x14ac:dyDescent="0.25">
      <c r="B2" t="s">
        <v>639</v>
      </c>
    </row>
    <row r="3" spans="2:2" x14ac:dyDescent="0.25">
      <c r="B3" t="s">
        <v>644</v>
      </c>
    </row>
    <row r="4" spans="2:2" x14ac:dyDescent="0.25">
      <c r="B4" t="s">
        <v>654</v>
      </c>
    </row>
    <row r="5" spans="2:2" x14ac:dyDescent="0.25">
      <c r="B5" t="s">
        <v>640</v>
      </c>
    </row>
    <row r="6" spans="2:2" x14ac:dyDescent="0.25">
      <c r="B6" t="s">
        <v>664</v>
      </c>
    </row>
    <row r="7" spans="2:2" x14ac:dyDescent="0.25">
      <c r="B7" t="s">
        <v>662</v>
      </c>
    </row>
    <row r="8" spans="2:2" x14ac:dyDescent="0.25">
      <c r="B8" t="s">
        <v>665</v>
      </c>
    </row>
    <row r="9" spans="2:2" x14ac:dyDescent="0.25">
      <c r="B9" t="s">
        <v>642</v>
      </c>
    </row>
    <row r="10" spans="2:2" x14ac:dyDescent="0.25">
      <c r="B10" t="s">
        <v>641</v>
      </c>
    </row>
    <row r="13" spans="2:2" x14ac:dyDescent="0.25">
      <c r="B13" t="s">
        <v>643</v>
      </c>
    </row>
    <row r="14" spans="2:2" x14ac:dyDescent="0.25">
      <c r="B14" t="s">
        <v>636</v>
      </c>
    </row>
    <row r="16" spans="2:2" x14ac:dyDescent="0.25">
      <c r="B16" t="s">
        <v>645</v>
      </c>
    </row>
    <row r="17" spans="1:3" x14ac:dyDescent="0.25">
      <c r="B17" t="s">
        <v>649</v>
      </c>
    </row>
    <row r="19" spans="1:3" x14ac:dyDescent="0.25">
      <c r="B19" t="s">
        <v>646</v>
      </c>
    </row>
    <row r="20" spans="1:3" x14ac:dyDescent="0.25">
      <c r="C20" t="s">
        <v>652</v>
      </c>
    </row>
    <row r="21" spans="1:3" x14ac:dyDescent="0.25">
      <c r="C21" t="s">
        <v>650</v>
      </c>
    </row>
    <row r="22" spans="1:3" x14ac:dyDescent="0.25">
      <c r="C22" t="s">
        <v>656</v>
      </c>
    </row>
    <row r="23" spans="1:3" x14ac:dyDescent="0.25">
      <c r="C23" t="s">
        <v>653</v>
      </c>
    </row>
    <row r="24" spans="1:3" x14ac:dyDescent="0.25">
      <c r="C24" t="s">
        <v>647</v>
      </c>
    </row>
    <row r="25" spans="1:3" x14ac:dyDescent="0.25">
      <c r="C25" t="s">
        <v>648</v>
      </c>
    </row>
    <row r="26" spans="1:3" x14ac:dyDescent="0.25">
      <c r="C26" t="s">
        <v>651</v>
      </c>
    </row>
    <row r="27" spans="1:3" x14ac:dyDescent="0.25">
      <c r="C27" t="s">
        <v>657</v>
      </c>
    </row>
    <row r="30" spans="1:3" x14ac:dyDescent="0.25">
      <c r="B30" t="s">
        <v>655</v>
      </c>
    </row>
    <row r="32" spans="1:3" x14ac:dyDescent="0.25">
      <c r="A32" s="45" t="s">
        <v>529</v>
      </c>
    </row>
    <row r="33" spans="1:2" x14ac:dyDescent="0.25">
      <c r="B33" t="s">
        <v>576</v>
      </c>
    </row>
    <row r="35" spans="1:2" x14ac:dyDescent="0.25">
      <c r="B35" t="s">
        <v>536</v>
      </c>
    </row>
    <row r="37" spans="1:2" x14ac:dyDescent="0.25">
      <c r="B37" t="s">
        <v>671</v>
      </c>
    </row>
    <row r="39" spans="1:2" x14ac:dyDescent="0.25">
      <c r="A39" s="45" t="s">
        <v>658</v>
      </c>
      <c r="B39" s="45"/>
    </row>
    <row r="40" spans="1:2" x14ac:dyDescent="0.25">
      <c r="B40" t="s">
        <v>659</v>
      </c>
    </row>
    <row r="41" spans="1:2" x14ac:dyDescent="0.25">
      <c r="B41" t="s">
        <v>666</v>
      </c>
    </row>
    <row r="42" spans="1:2" x14ac:dyDescent="0.25">
      <c r="B42" t="s">
        <v>663</v>
      </c>
    </row>
    <row r="43" spans="1:2" x14ac:dyDescent="0.25">
      <c r="B43" t="s">
        <v>660</v>
      </c>
    </row>
    <row r="44" spans="1:2" x14ac:dyDescent="0.25">
      <c r="B44" t="s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23</vt:i4>
      </vt:variant>
    </vt:vector>
  </HeadingPairs>
  <TitlesOfParts>
    <vt:vector size="29" baseType="lpstr">
      <vt:lpstr>Combined Mark &amp; RAM</vt:lpstr>
      <vt:lpstr>Mark</vt:lpstr>
      <vt:lpstr>RAM</vt:lpstr>
      <vt:lpstr>Change Year</vt:lpstr>
      <vt:lpstr>Keystone dates</vt:lpstr>
      <vt:lpstr>Readme</vt:lpstr>
      <vt:lpstr>_1st_weekday_occurrence</vt:lpstr>
      <vt:lpstr>_2nd_weekday_occurrence</vt:lpstr>
      <vt:lpstr>_3rd_weekday_occurrence</vt:lpstr>
      <vt:lpstr>_4th_weekday_occurrence</vt:lpstr>
      <vt:lpstr>_5th_weekday_occurrence</vt:lpstr>
      <vt:lpstr>April</vt:lpstr>
      <vt:lpstr>December</vt:lpstr>
      <vt:lpstr>February</vt:lpstr>
      <vt:lpstr>Friday</vt:lpstr>
      <vt:lpstr>January</vt:lpstr>
      <vt:lpstr>July</vt:lpstr>
      <vt:lpstr>June</vt:lpstr>
      <vt:lpstr>March</vt:lpstr>
      <vt:lpstr>May</vt:lpstr>
      <vt:lpstr>Monday</vt:lpstr>
      <vt:lpstr>November</vt:lpstr>
      <vt:lpstr>October</vt:lpstr>
      <vt:lpstr>Saturday</vt:lpstr>
      <vt:lpstr>September</vt:lpstr>
      <vt:lpstr>Thursday</vt:lpstr>
      <vt:lpstr>Tuesday</vt:lpstr>
      <vt:lpstr>Wednesday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Forbes Cutler</cp:lastModifiedBy>
  <dcterms:created xsi:type="dcterms:W3CDTF">2018-09-06T23:26:30Z</dcterms:created>
  <dcterms:modified xsi:type="dcterms:W3CDTF">2024-07-27T13:18:51Z</dcterms:modified>
</cp:coreProperties>
</file>